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4245" windowHeight="7275" tabRatio="712" firstSheet="1" activeTab="3"/>
  </bookViews>
  <sheets>
    <sheet name="VXXX" sheetId="1" state="veryHidden" r:id="rId1"/>
    <sheet name="제목" sheetId="2" r:id="rId2"/>
    <sheet name="소각시설일반현황" sheetId="3" r:id="rId3"/>
    <sheet name="전국소각장" sheetId="4" r:id="rId4"/>
    <sheet name="바닥재" sheetId="5" r:id="rId5"/>
    <sheet name="비산재" sheetId="6" r:id="rId6"/>
    <sheet name="운영비현황 " sheetId="7" r:id="rId7"/>
    <sheet name="용어및단위해설" sheetId="8" r:id="rId8"/>
  </sheets>
  <definedNames>
    <definedName name="_xlnm.Print_Titles" localSheetId="3">'전국소각장'!$A:$B,'전국소각장'!$1:$4</definedName>
  </definedNames>
  <calcPr fullCalcOnLoad="1"/>
</workbook>
</file>

<file path=xl/sharedStrings.xml><?xml version="1.0" encoding="utf-8"?>
<sst xmlns="http://schemas.openxmlformats.org/spreadsheetml/2006/main" count="986" uniqueCount="421">
  <si>
    <t>쓰레기저장조 발생폐수량</t>
  </si>
  <si>
    <t>반입량
   (톤)</t>
  </si>
  <si>
    <t>반입일수
  (일)</t>
  </si>
  <si>
    <t>위탁량
(톤)</t>
  </si>
  <si>
    <t>폐수 및 대기오염방지시설 운영(2/3)</t>
  </si>
  <si>
    <t>대 기</t>
  </si>
  <si>
    <t>Sox(ppm)</t>
  </si>
  <si>
    <t>Nox(ppm)</t>
  </si>
  <si>
    <t>Dust(mg/Nm³)</t>
  </si>
  <si>
    <t>PH</t>
  </si>
  <si>
    <t>폐수 및 대기오염방지시설 운영(3/3)</t>
  </si>
  <si>
    <t>수질(방류수)</t>
  </si>
  <si>
    <r>
      <t>SS</t>
    </r>
    <r>
      <rPr>
        <sz val="11"/>
        <rFont val="돋움"/>
        <family val="0"/>
      </rPr>
      <t xml:space="preserve">
(mg/ℓ</t>
    </r>
    <r>
      <rPr>
        <sz val="11"/>
        <rFont val="돋움"/>
        <family val="0"/>
      </rPr>
      <t>)</t>
    </r>
  </si>
  <si>
    <t>Phenol
(mg/ℓ)</t>
  </si>
  <si>
    <t>소각시설
(ℓ)</t>
  </si>
  <si>
    <t>방지시설
(ℓ)</t>
  </si>
  <si>
    <t>평균      가동율
 (%)</t>
  </si>
  <si>
    <t>소각재발생량(톤)</t>
  </si>
  <si>
    <t>보조연료 사용량 (LNG)</t>
  </si>
  <si>
    <t>00.1월</t>
  </si>
  <si>
    <t>00.2월</t>
  </si>
  <si>
    <t>00.3월</t>
  </si>
  <si>
    <t>00.4월</t>
  </si>
  <si>
    <t>00.5월</t>
  </si>
  <si>
    <t>00.6월</t>
  </si>
  <si>
    <t>00.7월</t>
  </si>
  <si>
    <t>00.8월</t>
  </si>
  <si>
    <t>00.9월</t>
  </si>
  <si>
    <t>00.10월</t>
  </si>
  <si>
    <t>00.11월</t>
  </si>
  <si>
    <t>00.12월</t>
  </si>
  <si>
    <t>쓰 레 기 소 각 현 황 (1호기)</t>
  </si>
  <si>
    <t>쓰 레 기 소 각 현 황 (2호기)</t>
  </si>
  <si>
    <r>
      <t>Cr</t>
    </r>
    <r>
      <rPr>
        <vertAlign val="superscript"/>
        <sz val="11"/>
        <rFont val="돋움"/>
        <family val="3"/>
      </rPr>
      <t>+6</t>
    </r>
    <r>
      <rPr>
        <sz val="11"/>
        <rFont val="돋움"/>
        <family val="0"/>
      </rPr>
      <t xml:space="preserve">
(mg/ℓ)</t>
    </r>
  </si>
  <si>
    <t>총계</t>
  </si>
  <si>
    <t>양천</t>
  </si>
  <si>
    <t>ND</t>
  </si>
  <si>
    <t>판매액
(천원)</t>
  </si>
  <si>
    <t>N.D</t>
  </si>
  <si>
    <t>평촌</t>
  </si>
  <si>
    <t>성남</t>
  </si>
  <si>
    <t>N.D</t>
  </si>
  <si>
    <t>ND</t>
  </si>
  <si>
    <t>수원</t>
  </si>
  <si>
    <t>울산</t>
  </si>
  <si>
    <t xml:space="preserve"> </t>
  </si>
  <si>
    <t>소각장명</t>
  </si>
  <si>
    <t>창원</t>
  </si>
  <si>
    <t>계</t>
  </si>
  <si>
    <t>1호기</t>
  </si>
  <si>
    <t>2호기</t>
  </si>
  <si>
    <t>3호기</t>
  </si>
  <si>
    <t>노원</t>
  </si>
  <si>
    <t>해운대</t>
  </si>
  <si>
    <t>다대</t>
  </si>
  <si>
    <t>성서</t>
  </si>
  <si>
    <t>대전</t>
  </si>
  <si>
    <t>부천</t>
  </si>
  <si>
    <t>일산</t>
  </si>
  <si>
    <t>광명</t>
  </si>
  <si>
    <t>과천</t>
  </si>
  <si>
    <t>용인</t>
  </si>
  <si>
    <t>구분</t>
  </si>
  <si>
    <t>소각열발생 및 이용현황</t>
  </si>
  <si>
    <t>쓰레기성분분석</t>
  </si>
  <si>
    <t>폐수 및 대기오염방지시설 운영(1/3)</t>
  </si>
  <si>
    <t>바닥재</t>
  </si>
  <si>
    <t>비산재</t>
  </si>
  <si>
    <t>발생량
(톤)</t>
  </si>
  <si>
    <t>소각량
(톤)</t>
  </si>
  <si>
    <t>자체처리량
(톤)</t>
  </si>
  <si>
    <t>소각량(톤)</t>
  </si>
  <si>
    <t>가동일
수(일)</t>
  </si>
  <si>
    <t>일평균
소각량
(톤)</t>
  </si>
  <si>
    <t>출구
온도
(℃)</t>
  </si>
  <si>
    <t>강열
감량
 (%)</t>
  </si>
  <si>
    <t>열생산량
(Gcal)</t>
  </si>
  <si>
    <t>이용현황</t>
  </si>
  <si>
    <t>비  중
(톤/m³)</t>
  </si>
  <si>
    <t>발 열 량
(Kcal/Kg)</t>
  </si>
  <si>
    <t>삼성분</t>
  </si>
  <si>
    <t>습량기준 물리적 조성</t>
  </si>
  <si>
    <t>연돌배출가스</t>
  </si>
  <si>
    <t>폐수배출량</t>
  </si>
  <si>
    <t>소계</t>
  </si>
  <si>
    <t>고형물</t>
  </si>
  <si>
    <t>폐수</t>
  </si>
  <si>
    <t>슬러지</t>
  </si>
  <si>
    <t>소각시설
(m³)</t>
  </si>
  <si>
    <t>방지시설
(m³)</t>
  </si>
  <si>
    <t>열공급</t>
  </si>
  <si>
    <t>전력생산</t>
  </si>
  <si>
    <t>수영장
(Gcal)</t>
  </si>
  <si>
    <t>단지내사용
(Gcal)</t>
  </si>
  <si>
    <t>수분
(%)</t>
  </si>
  <si>
    <t>가연분
(%)</t>
  </si>
  <si>
    <t>회분
(%)</t>
  </si>
  <si>
    <t>종이류
(%)</t>
  </si>
  <si>
    <t>나무,
짚류
(%)</t>
  </si>
  <si>
    <t>비닐
플라스틱류(%)</t>
  </si>
  <si>
    <t>음식물
(%)</t>
  </si>
  <si>
    <t>섬유,
가죽류
(%)</t>
  </si>
  <si>
    <t>불연물
(%)</t>
  </si>
  <si>
    <t>기 타
(%)</t>
  </si>
  <si>
    <t>가스량(Nm³/hr)</t>
  </si>
  <si>
    <t>온  도(℃)</t>
  </si>
  <si>
    <t>유기성
(톤)</t>
  </si>
  <si>
    <t>무기성
(톤)</t>
  </si>
  <si>
    <t>HCl(ppm)</t>
  </si>
  <si>
    <r>
      <t>BOD
(mg/ℓ</t>
    </r>
    <r>
      <rPr>
        <sz val="11"/>
        <rFont val="돋움"/>
        <family val="0"/>
      </rPr>
      <t>)</t>
    </r>
  </si>
  <si>
    <t>COD
(mg/ℓ)</t>
  </si>
  <si>
    <r>
      <t>Cu
(mg/ℓ</t>
    </r>
    <r>
      <rPr>
        <sz val="11"/>
        <rFont val="돋움"/>
        <family val="0"/>
      </rPr>
      <t>)</t>
    </r>
  </si>
  <si>
    <r>
      <t>Pb</t>
    </r>
    <r>
      <rPr>
        <sz val="11"/>
        <rFont val="돋움"/>
        <family val="0"/>
      </rPr>
      <t xml:space="preserve">
(mg/ℓ</t>
    </r>
    <r>
      <rPr>
        <sz val="11"/>
        <rFont val="돋움"/>
        <family val="0"/>
      </rPr>
      <t>)</t>
    </r>
  </si>
  <si>
    <t>량
(Gcal)</t>
  </si>
  <si>
    <t>사용량
(Gcal)</t>
  </si>
  <si>
    <t>생  산
(MWh)</t>
  </si>
  <si>
    <t>이용
(MWh)</t>
  </si>
  <si>
    <t>판매
(MWh)</t>
  </si>
  <si>
    <t>양천</t>
  </si>
  <si>
    <t>노원</t>
  </si>
  <si>
    <t>해운대</t>
  </si>
  <si>
    <t>경북 포항시 남구 대송면 옥명리 200-1</t>
  </si>
  <si>
    <t>위탁</t>
  </si>
  <si>
    <t>환경관리공단</t>
  </si>
  <si>
    <t>울산광역시 울주군 온산읍 당월리 248</t>
  </si>
  <si>
    <t>00년도 소각장별 비산재 처리현황</t>
  </si>
  <si>
    <t>호기별</t>
  </si>
  <si>
    <t>발생량(톤)</t>
  </si>
  <si>
    <t>처리방법</t>
  </si>
  <si>
    <t>처리량(톤)</t>
  </si>
  <si>
    <t>처리업소명</t>
  </si>
  <si>
    <t>최종처리소재지</t>
  </si>
  <si>
    <t>합계</t>
  </si>
  <si>
    <t>위탁</t>
  </si>
  <si>
    <t>환경관리공단 온산사업소</t>
  </si>
  <si>
    <t>경남 울산시 울주군 온산읍 당월리 248</t>
  </si>
  <si>
    <t>환경관리공단</t>
  </si>
  <si>
    <t>울산광역시 울주군 온산면 당월리 248</t>
  </si>
  <si>
    <t>매립</t>
  </si>
  <si>
    <t xml:space="preserve">울산광역시 </t>
  </si>
  <si>
    <t>위탁처리</t>
  </si>
  <si>
    <t>환경관리공단 창원사업소</t>
  </si>
  <si>
    <t>경남 창원시 적현동 58-1</t>
  </si>
  <si>
    <t>울산광역시 울주군 온산읍 당월리248</t>
  </si>
  <si>
    <t>2,3호기</t>
  </si>
  <si>
    <t>아남환경</t>
  </si>
  <si>
    <r>
      <t xml:space="preserve">성서
</t>
    </r>
    <r>
      <rPr>
        <sz val="9"/>
        <rFont val="돋움"/>
        <family val="3"/>
      </rPr>
      <t>(안정화물)</t>
    </r>
  </si>
  <si>
    <t>안정화
처리후
자체매립장
매립</t>
  </si>
  <si>
    <t>대구시 위생매립장</t>
  </si>
  <si>
    <t>대구광역시 달성군 다사면 방천리 421번지</t>
  </si>
  <si>
    <t>위탁(매립)</t>
  </si>
  <si>
    <t>㈜한중</t>
  </si>
  <si>
    <t>충남 연기군 동면 응암리 133</t>
  </si>
  <si>
    <t>매  립</t>
  </si>
  <si>
    <t>울산시 울주군 온산읍 당월리 248</t>
  </si>
  <si>
    <t>울산광역시 울주군 온산면</t>
  </si>
  <si>
    <t>관리형매립</t>
  </si>
  <si>
    <t>충남 연기군 동면 응암리 133번지</t>
  </si>
  <si>
    <t>(주)코엔텍</t>
  </si>
  <si>
    <t>울산광역시 남구 용잠동 산 157</t>
  </si>
  <si>
    <t xml:space="preserve">안정화 </t>
  </si>
  <si>
    <t>용인시</t>
  </si>
  <si>
    <t>용인시 매립장</t>
  </si>
  <si>
    <t>환경관리공단창원</t>
  </si>
  <si>
    <t>경남 창원시 적현동</t>
  </si>
  <si>
    <t>㈜ 한 중</t>
  </si>
  <si>
    <t>충남 연기군 동면 응암리</t>
  </si>
  <si>
    <t>범우㈜</t>
  </si>
  <si>
    <t>울산시 울주군 온산읍 학남리</t>
  </si>
  <si>
    <t>00년도 소각장별 바닥재 처리현황</t>
  </si>
  <si>
    <t>전진산업(합)</t>
  </si>
  <si>
    <t>충남 부여군 장암면 장하리 708</t>
  </si>
  <si>
    <t>전진산업(합)</t>
  </si>
  <si>
    <t>충남 부여군 장암면 장하리 708</t>
  </si>
  <si>
    <t>수도권매립지</t>
  </si>
  <si>
    <t>인천시 서구 백석동 58</t>
  </si>
  <si>
    <t>인천광역시 서구 백석동 수도권매립지</t>
  </si>
  <si>
    <t>전진산업</t>
  </si>
  <si>
    <t>부산시청소시설               관리사업소</t>
  </si>
  <si>
    <t>부산광역시</t>
  </si>
  <si>
    <t>자가처리</t>
  </si>
  <si>
    <t>부산광역시 생곡매립장</t>
  </si>
  <si>
    <t>부산시 강서구 생곡동 산61번지</t>
  </si>
  <si>
    <t>자체매립장    매립</t>
  </si>
  <si>
    <t>위탁
(자체매립)</t>
  </si>
  <si>
    <t>금고동 위생매립장</t>
  </si>
  <si>
    <t>대전 유성구 금고동 산21</t>
  </si>
  <si>
    <t>재활용</t>
  </si>
  <si>
    <t xml:space="preserve"> 자체매립장</t>
  </si>
  <si>
    <t>성남시</t>
  </si>
  <si>
    <t>경기도 성남시 중원구 상대원1동 420</t>
  </si>
  <si>
    <t xml:space="preserve"> 매립</t>
  </si>
  <si>
    <t>매립및재활용</t>
  </si>
  <si>
    <t>수도권매립지외 2개소</t>
  </si>
  <si>
    <t>인천서구백석동 58번지</t>
  </si>
  <si>
    <t>전진산업㈜</t>
  </si>
  <si>
    <t>충남 부여군 장암면 장암리 708번지</t>
  </si>
  <si>
    <t>위탁(재활용)</t>
  </si>
  <si>
    <t>자체매립</t>
  </si>
  <si>
    <t>창원시천선동매립장</t>
  </si>
  <si>
    <t>경남 창원시 천선동</t>
  </si>
  <si>
    <t>자가</t>
  </si>
  <si>
    <t>울산성암매립장</t>
  </si>
  <si>
    <t>00년도 소각장별 운영비 현황</t>
  </si>
  <si>
    <t>다대</t>
  </si>
  <si>
    <t>성서</t>
  </si>
  <si>
    <t>대전</t>
  </si>
  <si>
    <t>평촌</t>
  </si>
  <si>
    <t>부천</t>
  </si>
  <si>
    <t>성남</t>
  </si>
  <si>
    <t>일산</t>
  </si>
  <si>
    <t>광명</t>
  </si>
  <si>
    <t>과천</t>
  </si>
  <si>
    <t>용인</t>
  </si>
  <si>
    <t>창원</t>
  </si>
  <si>
    <t>수원</t>
  </si>
  <si>
    <t>울산</t>
  </si>
  <si>
    <t>성남: 기타는 고철판매대금</t>
  </si>
  <si>
    <t>과천: 기타비용 : 직접경비 + 간접경비 + 정산인건비 + 침출수처리비 + 사무비품구입 + 홍보활동비</t>
  </si>
  <si>
    <t>성서 : 기타는 고철판매대금</t>
  </si>
  <si>
    <t>창원 : 일반수용비, 환경관리비, 제세 및 공공요금, 차량유지비, 국내여비</t>
  </si>
  <si>
    <t>수원 : 기타(수입)는 고철판매대금, 기타(지출)는 Gas비용임</t>
  </si>
  <si>
    <t>Ⅴ. 용어 및 단위해설</t>
  </si>
  <si>
    <t>○ 반입량(톤) : 생활폐기물 수거차량에 의하여 소각시설로 반입된 생활폐기물의 양으로서 무게로 표시함. 시간당 2톤이</t>
  </si>
  <si>
    <t xml:space="preserve">    상인 경우 소각장내 설치된 계량기에 의하여 무게가 측정되고 있음.</t>
  </si>
  <si>
    <t>○ 반입일수(일) : 한해 동안 소각시설에 생활폐기물이 반입된 일수가 몇일인가를 나타낸 것으로서 일일폐기물 반입량,</t>
  </si>
  <si>
    <t xml:space="preserve">    소각시설의 운영일수를 파악할 수 있는 기본자료임.</t>
  </si>
  <si>
    <t>○ 바닥재, 비산재(톤) : 생활폐기물이 연소과정을 거치면서 가연물질은 가스화되어 연소되나 불연물질은 연소실에 잔류</t>
  </si>
  <si>
    <t xml:space="preserve">    하였다가 연소실 하부를 통하여 배출되는데, 이때 연소실 하부를 통하여 포집된 연소재가 바닥재이며, 통상 대기오염</t>
  </si>
  <si>
    <t xml:space="preserve">    방지시설 등에서 포집되는 것을 비산재라 함.</t>
  </si>
  <si>
    <t>○ 쓰레기저장조 발생폐수량(톤) : 폐기물의 저장과정에서 폐기물에 함유된 수분으로 인하여 발생되는 폐수로서 폐기물</t>
  </si>
  <si>
    <t xml:space="preserve">    저장조는 통상 3일정도의 저장용량을 가지고 있음.</t>
  </si>
  <si>
    <t>○ 가동일수(일) : 고장이나 시설보수 등으로 인하여 가동을 중지한 날을 제외한 실제 가동 일수.</t>
  </si>
  <si>
    <t>○ 일평균소각량(톤) : 연간 쓰레기 총 소각량을 가동일수로 나누어 나타내며, 실제 가동시간내 하루 평균 소각량을 구</t>
  </si>
  <si>
    <t xml:space="preserve">    하여 설비의 적정운영여부 등을 파악할 수 있는 기본자료임.</t>
  </si>
  <si>
    <t>○ 연평균가동율(%) : 연간 쓰레기 총 소각량을 소각시설의 정비, 정기점검 등을 고려한 연간 목표가동일수로 나누어 하</t>
  </si>
  <si>
    <t xml:space="preserve">    루 평균소각량을 구한 다음 시설용량으로 나누어 구하며, 시설규모의 적정성 등을 파악할 수 있는 기본자료임.</t>
  </si>
  <si>
    <t>○ 보조연료사용량(ℓ,㎥) : 생활폐기물 소각시설은 가동중에 일정한 범위의 열량을 함유한 폐기물을 연소시켜야 규정된</t>
  </si>
  <si>
    <t xml:space="preserve">    연소실의 출구온도를 유지할 수 있으나, 음식물·채소류 등이 다량 함유된 쓰레기의 경우에는 열량이 낮아 경유·가</t>
  </si>
  <si>
    <t xml:space="preserve">   스 등의 연료를 이용하여 소각시설 내부 열량을 보충해주는데 이러한 연료를 보조연료라 함. 이때 보조연료가 가스인</t>
  </si>
  <si>
    <t xml:space="preserve">   경우는 ㎥의 단위를, 경유는 경우는 ℓ를 사용하여 표시함.</t>
  </si>
  <si>
    <t>○ 강열감량(%) : 소각후에 남은 연소재에는 미연소된 물질이 혼합되어 있는데 이러한 미연소 물질의 혼합정도를 측정</t>
  </si>
  <si>
    <t xml:space="preserve">    하는 것으로서, 수치가 낮을수록 완전연소에 가까운 상태를 나타내는 것임.</t>
  </si>
  <si>
    <t>○ 열생산량(Cal) : 연소시에 발생된 열을 후단의 폐열보일러에서 열을 증기형태로 전환하여 전력생산, 온수생산, 난방</t>
  </si>
  <si>
    <r>
      <t xml:space="preserve">    등에 활용하고 있으며, 이 때 소각시설에서 보일러를 통하여 증기로 전환된 총 열량을 말함.(1Gcal=10</t>
    </r>
    <r>
      <rPr>
        <vertAlign val="superscript"/>
        <sz val="14"/>
        <rFont val="돋움"/>
        <family val="3"/>
      </rPr>
      <t>9</t>
    </r>
    <r>
      <rPr>
        <sz val="14"/>
        <rFont val="돋움"/>
        <family val="3"/>
      </rPr>
      <t>Cal)</t>
    </r>
  </si>
  <si>
    <t>○ 쓰레기성분 분석 : 소각시설의 적정운전 또는 설계를 위하여 반입된 쓰레기의 성분을 분석.</t>
  </si>
  <si>
    <t xml:space="preserve">    - 비 중 (톤/㎥) : 폐기물 1㎥이 나타내는 무게를 말하며, 수분등이 함유된 쓰레기의 성분을 분석.</t>
  </si>
  <si>
    <t xml:space="preserve">    - 발열량(Kcal/Kg) : 1Kg의 폐기물을 소각할 때 발생하는 열량을 말하며, 소각시설 운영 및 설계의 중요한 기준이 됨.</t>
  </si>
  <si>
    <t xml:space="preserve">                              통상 비닐이나 종이·플라스틱 등을 발열량이 높고, 채소·음식물 등의 쓰레기는 발열량이 낮은</t>
  </si>
  <si>
    <t xml:space="preserve">                              편임.</t>
  </si>
  <si>
    <t xml:space="preserve">    - 삼 성 분(%) : 폐기물이 가지고 있는 수분, 가연분, 회분을 백분율로 표시한 것임.</t>
  </si>
  <si>
    <t>○ 가스량(N㎥/hr) : 단위시간당 배출되는 가스의 양(부피)으로서 소각시설은 가스량에 의하여 소각시설의 크기나 구조</t>
  </si>
  <si>
    <t xml:space="preserve">    와 방지시설의 구조 등이 결정됨.</t>
  </si>
  <si>
    <r>
      <t xml:space="preserve">환경관리공단 </t>
    </r>
    <r>
      <rPr>
        <sz val="11"/>
        <rFont val="돋움"/>
        <family val="0"/>
      </rPr>
      <t>온산사업소</t>
    </r>
  </si>
  <si>
    <t>전국생활폐기물소각시설운영협의회</t>
  </si>
  <si>
    <t>소   각
시설명</t>
  </si>
  <si>
    <t>소    재    지</t>
  </si>
  <si>
    <t>시설용량</t>
  </si>
  <si>
    <t>공사기간</t>
  </si>
  <si>
    <t>가   동
개시일</t>
  </si>
  <si>
    <t>발  주  자</t>
  </si>
  <si>
    <t>시공업체</t>
  </si>
  <si>
    <t>운영주체</t>
  </si>
  <si>
    <t>톤/일</t>
  </si>
  <si>
    <t>기</t>
  </si>
  <si>
    <t>양   천</t>
  </si>
  <si>
    <t>'92.12~'96. 2</t>
  </si>
  <si>
    <t>'96. 3. 1</t>
  </si>
  <si>
    <t>서울특별시</t>
  </si>
  <si>
    <t>SK건설㈜</t>
  </si>
  <si>
    <t>노   원</t>
  </si>
  <si>
    <t>'92.12~'97. 1</t>
  </si>
  <si>
    <t>'97. 1.15</t>
  </si>
  <si>
    <t>현대중공업㈜</t>
  </si>
  <si>
    <t>한불에너지</t>
  </si>
  <si>
    <t>해운대</t>
  </si>
  <si>
    <t>부산광역시 해운대구 좌동 209</t>
  </si>
  <si>
    <t>'94. 6~'97. 7</t>
  </si>
  <si>
    <t>'96. 7.19</t>
  </si>
  <si>
    <t>부산광역시</t>
  </si>
  <si>
    <t>삼성물산㈜</t>
  </si>
  <si>
    <t>환경관리공단</t>
  </si>
  <si>
    <t>다   대</t>
  </si>
  <si>
    <t>부산광역시 사하구 다대동 1548-5</t>
  </si>
  <si>
    <t>'93. 8~'95. 8</t>
  </si>
  <si>
    <t>'95. 8.30</t>
  </si>
  <si>
    <t>한라중공업㈜</t>
  </si>
  <si>
    <t>환경시설공단</t>
  </si>
  <si>
    <t>성   서</t>
  </si>
  <si>
    <t>대구광역시 달서구 장동 306-71</t>
  </si>
  <si>
    <t>'90. 8~'98. 9</t>
  </si>
  <si>
    <t>'92.10. 1</t>
  </si>
  <si>
    <t>대구광역시</t>
  </si>
  <si>
    <t>㈜대우</t>
  </si>
  <si>
    <t>대   전</t>
  </si>
  <si>
    <t>대전광역시 대덕구 신일동 435-7</t>
  </si>
  <si>
    <t>'95. 7~'98.10</t>
  </si>
  <si>
    <t>'98.11. 1</t>
  </si>
  <si>
    <t>대전광역시</t>
  </si>
  <si>
    <t>LG건설㈜</t>
  </si>
  <si>
    <t>대전도시개발공사</t>
  </si>
  <si>
    <t>평   촌</t>
  </si>
  <si>
    <t>경기도 안양시 동안구 평촌동 897-1</t>
  </si>
  <si>
    <t>'91.11~'93.12</t>
  </si>
  <si>
    <t>'93.12.15</t>
  </si>
  <si>
    <t>한국토지개발공사</t>
  </si>
  <si>
    <t>동부건설㈜</t>
  </si>
  <si>
    <t>중   동</t>
  </si>
  <si>
    <t>경기도 부천시 오정구 삼정동 363-4</t>
  </si>
  <si>
    <t>'92.12~'95. 5</t>
  </si>
  <si>
    <t>'95 . 6. 8</t>
  </si>
  <si>
    <t>부천시</t>
  </si>
  <si>
    <t>성   남</t>
  </si>
  <si>
    <t>경기도 성남시 중원구 상대원1동 420</t>
  </si>
  <si>
    <t>'98.10. 8</t>
  </si>
  <si>
    <t>성남시</t>
  </si>
  <si>
    <t>일   산</t>
  </si>
  <si>
    <t>경기도 고양시 일산구 백석동 1234</t>
  </si>
  <si>
    <t>'92.11~'95.11</t>
  </si>
  <si>
    <t>'95.12. 1</t>
  </si>
  <si>
    <t>삼성중공업㈜</t>
  </si>
  <si>
    <t>광   명</t>
  </si>
  <si>
    <t>'96. 3~'99.12</t>
  </si>
  <si>
    <t>'99. 2. 1</t>
  </si>
  <si>
    <t>광명시</t>
  </si>
  <si>
    <t>용   인</t>
  </si>
  <si>
    <t>경기도 용인시 금어리 산 245</t>
  </si>
  <si>
    <t>'95.12~'99. 2</t>
  </si>
  <si>
    <t>'99. 3. 1</t>
  </si>
  <si>
    <t>용인시</t>
  </si>
  <si>
    <t>코오롱건설</t>
  </si>
  <si>
    <t>과   천</t>
  </si>
  <si>
    <t>경기도 과천시 길현동 205-1</t>
  </si>
  <si>
    <t>'96. 8~'99.10</t>
  </si>
  <si>
    <t>'99.12. 7</t>
  </si>
  <si>
    <t>과천시</t>
  </si>
  <si>
    <t>현대정공</t>
  </si>
  <si>
    <t>창   원</t>
  </si>
  <si>
    <t>경남 창원시 창곡동 172-1</t>
  </si>
  <si>
    <t>'93. 7~'95. 2</t>
  </si>
  <si>
    <t>'95. 3.  1</t>
  </si>
  <si>
    <t>창원시</t>
  </si>
  <si>
    <t>한라산업개발㈜</t>
  </si>
  <si>
    <t>수   원</t>
  </si>
  <si>
    <t>경기도 수원시 영통개발지구내</t>
  </si>
  <si>
    <t>'96. 7~'99.10</t>
  </si>
  <si>
    <t>'99.10.28</t>
  </si>
  <si>
    <t>수원시</t>
  </si>
  <si>
    <t>삼성중공업</t>
  </si>
  <si>
    <t>울   산</t>
  </si>
  <si>
    <t>대   장</t>
  </si>
  <si>
    <t>경기도 부천시 오정구 대장동 607</t>
  </si>
  <si>
    <t>'97. 9~'00. 9. 4</t>
  </si>
  <si>
    <t>'00. 9. 5</t>
  </si>
  <si>
    <t>대우건설㈜</t>
  </si>
  <si>
    <t>소각장명</t>
  </si>
  <si>
    <t>수 입(단위:천원)</t>
  </si>
  <si>
    <t>지출(단위:천원)</t>
  </si>
  <si>
    <t>-</t>
  </si>
  <si>
    <t xml:space="preserve"> -</t>
  </si>
  <si>
    <t>소각처리
비용(원/톤)</t>
  </si>
  <si>
    <t>년간소각량
(톤)</t>
  </si>
  <si>
    <t>인건비</t>
  </si>
  <si>
    <t>전력비</t>
  </si>
  <si>
    <t>약품비</t>
  </si>
  <si>
    <t>유지보수비</t>
  </si>
  <si>
    <t>재처리비</t>
  </si>
  <si>
    <t>기타비용</t>
  </si>
  <si>
    <t>계</t>
  </si>
  <si>
    <t>전력판매액</t>
  </si>
  <si>
    <t>시설사용료</t>
  </si>
  <si>
    <t>기타</t>
  </si>
  <si>
    <t>열판매액</t>
  </si>
  <si>
    <t>목       차</t>
  </si>
  <si>
    <t xml:space="preserve">         1. 총계, 양천‥‥‥‥‥‥‥‥‥‥‥‥‥‥‥‥‥‥‥‥‥‥‥‥  1~ 8</t>
  </si>
  <si>
    <t xml:space="preserve">         2. 노원, 해운대‥‥‥‥‥‥‥‥‥‥‥‥‥‥‥‥‥‥‥‥‥‥‥  9~16</t>
  </si>
  <si>
    <t xml:space="preserve">         3. 다대, 성서‥‥‥‥‥‥‥‥‥‥‥‥‥‥‥‥‥‥‥‥‥‥‥‥ 17~24</t>
  </si>
  <si>
    <t xml:space="preserve">         4. 대전, 평촌‥‥‥‥‥‥‥‥‥‥‥‥‥‥‥‥‥‥‥‥‥‥‥‥ 25~32</t>
  </si>
  <si>
    <t xml:space="preserve">         5. 부천, 성남‥‥‥‥‥‥‥‥‥‥‥‥‥‥‥‥‥‥‥‥‥‥‥‥ 33~40</t>
  </si>
  <si>
    <t xml:space="preserve">         6. 일산, 광명‥‥‥‥‥‥‥‥‥‥‥‥‥‥‥‥‥‥‥‥‥‥‥‥ 41~48</t>
  </si>
  <si>
    <t xml:space="preserve">         7. 용인, 과천‥‥‥‥‥‥‥‥‥‥‥‥‥‥‥‥‥‥‥‥‥‥‥‥ 49~56</t>
  </si>
  <si>
    <t xml:space="preserve">         8. 창원, 수원‥‥‥‥‥‥‥‥‥‥‥‥‥‥‥‥‥‥‥‥‥‥‥‥ 57~64</t>
  </si>
  <si>
    <t xml:space="preserve">         9. 울산‥‥‥‥‥‥‥‥‥‥‥‥‥‥‥‥‥‥‥‥‥‥‥‥‥‥‥ 65~72</t>
  </si>
  <si>
    <t>Ⅰ. 소각시설 일반현황</t>
  </si>
  <si>
    <t>Ⅱ. 소각시설별 운영현황</t>
  </si>
  <si>
    <t>Ⅲ. 소각재 발생 및 처리현황‥‥‥‥‥‥‥‥‥‥‥‥‥‥‥‥‥‥‥‥‥  73~76</t>
  </si>
  <si>
    <t>Ⅳ. 소각장별 운영비 현황‥‥‥‥‥‥‥‥‥‥‥‥‥‥‥‥‥‥‥‥‥‥‥ 77</t>
  </si>
  <si>
    <t>Ⅴ. 용어 및 단위해설‥‥‥‥‥‥‥‥‥‥‥‥‥‥‥‥‥‥‥‥‥‥‥‥‥ 78~79</t>
  </si>
  <si>
    <t xml:space="preserve">    9. 울산 소각시설 </t>
  </si>
  <si>
    <t>Ⅳ. 소각장별 운영비 현황</t>
  </si>
  <si>
    <t>중동</t>
  </si>
  <si>
    <t>상   무</t>
  </si>
  <si>
    <t>울산광역시 남구 성암동 153</t>
  </si>
  <si>
    <t>'97. 6~'00. 5.15</t>
  </si>
  <si>
    <t>'00. 5.15</t>
  </si>
  <si>
    <t>울산광역시</t>
  </si>
  <si>
    <t>한라산업개발㈜</t>
  </si>
  <si>
    <t>광주시 서구 치평동 상무지구</t>
  </si>
  <si>
    <t>'96. 6~'00. 9.15</t>
  </si>
  <si>
    <t>임시가동중</t>
  </si>
  <si>
    <t>광주시</t>
  </si>
  <si>
    <t>SK건설㈜</t>
  </si>
  <si>
    <t>Ⅰ. 소각시설 일반현황</t>
  </si>
  <si>
    <t>'94.12~'98.10</t>
  </si>
  <si>
    <t>서울특별시 양천구 목6동 900</t>
  </si>
  <si>
    <t>서울특별시 노원구 상계6동 772</t>
  </si>
  <si>
    <t>대우건설㈜</t>
  </si>
  <si>
    <t>현대MOBIS㈜</t>
  </si>
  <si>
    <t>'00생활폐기물소각시설 운영현황</t>
  </si>
  <si>
    <t>환         경         부</t>
  </si>
  <si>
    <t>2001. 3</t>
  </si>
  <si>
    <t xml:space="preserve"> </t>
  </si>
  <si>
    <t xml:space="preserve"> 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</si>
  <si>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</si>
  <si>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</si>
  <si>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</si>
  <si>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</si>
  <si>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</si>
  <si>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</si>
  <si>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무상공급</t>
  </si>
  <si>
    <t>경기도 광명시 가학동 산 16-1</t>
  </si>
</sst>
</file>

<file path=xl/styles.xml><?xml version="1.0" encoding="utf-8"?>
<styleSheet xmlns="http://schemas.openxmlformats.org/spreadsheetml/2006/main">
  <numFmts count="5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_);[Red]\(#,##0\)"/>
    <numFmt numFmtId="186" formatCode="_ * #,##0_ ;_ * \-#,##0_ ;_ * &quot;-&quot;_ ;_ @_ "/>
    <numFmt numFmtId="187" formatCode="_ * #,##0.00_ ;_ * \-#,##0.00_ ;_ * &quot;-&quot;??_ ;_ @_ "/>
    <numFmt numFmtId="188" formatCode="_ * #,##0.0_ ;_ * \-#,##0.0_ ;_ * &quot;-&quot;_ ;_ @_ 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 * #,##0.00_ ;_ * \-#,##0.00_ ;_ * &quot;-&quot;_ ;_ @_ "/>
    <numFmt numFmtId="192" formatCode="_ * #,##0.000_ ;_ * \-#,##0.000_ ;_ * &quot;-&quot;_ ;_ @_ "/>
    <numFmt numFmtId="193" formatCode="0.0%"/>
    <numFmt numFmtId="194" formatCode="#,##0.0_);[Red]\(#,##0.0\)"/>
    <numFmt numFmtId="195" formatCode="0.00_ "/>
    <numFmt numFmtId="196" formatCode="0.0_ "/>
    <numFmt numFmtId="197" formatCode="0.0_);[Red]\(0.0\)"/>
    <numFmt numFmtId="198" formatCode="#,##0.0_ "/>
    <numFmt numFmtId="199" formatCode="yy/m/d"/>
    <numFmt numFmtId="200" formatCode="&quot;\&quot;#,##0.00;&quot;\&quot;&quot;\&quot;&quot;\&quot;&quot;\&quot;&quot;\&quot;&quot;\&quot;&quot;\&quot;&quot;\&quot;&quot;\&quot;&quot;\&quot;&quot;\&quot;\-#,##0.00"/>
    <numFmt numFmtId="201" formatCode="#,##0;[Red]&quot;-&quot;#,##0"/>
    <numFmt numFmtId="202" formatCode="_-* #,##0_-;\-* #,##0_-;_-* &quot;-&quot;??_-;_-@_-"/>
    <numFmt numFmtId="203" formatCode="0.000;[Red]0.000"/>
    <numFmt numFmtId="204" formatCode="0.0;[Red]0.0"/>
    <numFmt numFmtId="205" formatCode="0;[Red]0"/>
    <numFmt numFmtId="206" formatCode="0.00;[Red]0.00"/>
    <numFmt numFmtId="207" formatCode="#,##0;[Red]#,##0"/>
    <numFmt numFmtId="208" formatCode="#,##0.00_ "/>
    <numFmt numFmtId="209" formatCode="#,##0.000_ "/>
    <numFmt numFmtId="210" formatCode="0_ "/>
    <numFmt numFmtId="211" formatCode="0.000_ "/>
    <numFmt numFmtId="212" formatCode="#,##0.00;[Red]#,##0.00"/>
    <numFmt numFmtId="213" formatCode="#,##0.0;[Red]#,##0.0"/>
    <numFmt numFmtId="214" formatCode="#,##0.00_);[Red]\(#,##0.00\)"/>
    <numFmt numFmtId="215" formatCode="#,##0.000_);[Red]\(#,##0.000\)"/>
    <numFmt numFmtId="216" formatCode="_-* #,##0.0_-;\-* #,##0.0_-;_-* &quot;-&quot;_-;_-@_-"/>
    <numFmt numFmtId="217" formatCode="_-* #,##0.00_-;\-* #,##0.00_-;_-* &quot;-&quot;_-;_-@_-"/>
    <numFmt numFmtId="218" formatCode="#,##0.000;[Red]#,##0.000"/>
    <numFmt numFmtId="219" formatCode="_-* #,##0.0_-;\-* #,##0.0_-;_-* &quot;-&quot;??_-;_-@_-"/>
    <numFmt numFmtId="220" formatCode="_-* #,##0.0_-;\-* #,##0.0_-;_-* &quot;-&quot;?_-;_-@_-"/>
    <numFmt numFmtId="221" formatCode="#,##0.0"/>
    <numFmt numFmtId="222" formatCode="_-*0.0_-;\-* #,##0.0_-;_-* &quot;-&quot;??_-;_-@_-"/>
  </numFmts>
  <fonts count="36">
    <font>
      <sz val="11"/>
      <name val="돋움"/>
      <family val="0"/>
    </font>
    <font>
      <sz val="8"/>
      <name val="돋움"/>
      <family val="3"/>
    </font>
    <font>
      <sz val="11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Arial"/>
      <family val="2"/>
    </font>
    <font>
      <u val="single"/>
      <sz val="10"/>
      <color indexed="14"/>
      <name val="MS Sans Serif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11"/>
      <name val="돋움"/>
      <family val="3"/>
    </font>
    <font>
      <sz val="10"/>
      <name val="돋움"/>
      <family val="3"/>
    </font>
    <font>
      <b/>
      <sz val="16"/>
      <name val="바탕체"/>
      <family val="1"/>
    </font>
    <font>
      <sz val="11"/>
      <name val="바탕체"/>
      <family val="1"/>
    </font>
    <font>
      <sz val="9"/>
      <name val="돋움"/>
      <family val="3"/>
    </font>
    <font>
      <sz val="11"/>
      <name val="돋움체"/>
      <family val="3"/>
    </font>
    <font>
      <sz val="20"/>
      <name val="돋움"/>
      <family val="3"/>
    </font>
    <font>
      <sz val="10"/>
      <name val="돋움체"/>
      <family val="3"/>
    </font>
    <font>
      <sz val="9"/>
      <name val="굴림체"/>
      <family val="3"/>
    </font>
    <font>
      <b/>
      <u val="single"/>
      <sz val="16"/>
      <name val="돋움"/>
      <family val="3"/>
    </font>
    <font>
      <sz val="14"/>
      <name val="돋움"/>
      <family val="3"/>
    </font>
    <font>
      <vertAlign val="superscript"/>
      <sz val="14"/>
      <name val="돋움"/>
      <family val="3"/>
    </font>
    <font>
      <b/>
      <sz val="11"/>
      <name val="바탕체"/>
      <family val="1"/>
    </font>
    <font>
      <b/>
      <sz val="20"/>
      <name val="바탕체"/>
      <family val="1"/>
    </font>
    <font>
      <b/>
      <sz val="28"/>
      <name val="바탕체"/>
      <family val="1"/>
    </font>
    <font>
      <b/>
      <sz val="25"/>
      <name val="바탕체"/>
      <family val="1"/>
    </font>
    <font>
      <b/>
      <sz val="19"/>
      <name val="바탕체"/>
      <family val="1"/>
    </font>
    <font>
      <b/>
      <sz val="26"/>
      <name val="바탕체"/>
      <family val="1"/>
    </font>
    <font>
      <sz val="18"/>
      <name val="바탕체"/>
      <family val="1"/>
    </font>
    <font>
      <b/>
      <u val="single"/>
      <sz val="22"/>
      <name val="바탕체"/>
      <family val="1"/>
    </font>
    <font>
      <sz val="16"/>
      <name val="바탕체"/>
      <family val="1"/>
    </font>
    <font>
      <sz val="16"/>
      <name val="돋움"/>
      <family val="3"/>
    </font>
    <font>
      <b/>
      <sz val="18"/>
      <name val="바탕체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ck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201" fontId="9" fillId="0" borderId="0" applyFont="0" applyFill="0" applyBorder="0" applyAlignment="0" applyProtection="0"/>
    <xf numFmtId="186" fontId="0" fillId="0" borderId="0" applyFont="0" applyFill="0" applyBorder="0" applyAlignment="0">
      <protection/>
    </xf>
    <xf numFmtId="19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38" fontId="11" fillId="2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3" borderId="3" applyNumberFormat="0" applyBorder="0" applyAlignment="0" applyProtection="0"/>
    <xf numFmtId="200" fontId="0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</cellStyleXfs>
  <cellXfs count="7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204" fontId="0" fillId="0" borderId="19" xfId="0" applyNumberFormat="1" applyBorder="1" applyAlignment="1">
      <alignment vertical="center"/>
    </xf>
    <xf numFmtId="204" fontId="0" fillId="0" borderId="13" xfId="0" applyNumberFormat="1" applyBorder="1" applyAlignment="1">
      <alignment vertical="center"/>
    </xf>
    <xf numFmtId="204" fontId="0" fillId="0" borderId="0" xfId="0" applyNumberFormat="1" applyBorder="1" applyAlignment="1">
      <alignment vertical="center"/>
    </xf>
    <xf numFmtId="206" fontId="0" fillId="0" borderId="20" xfId="0" applyNumberFormat="1" applyBorder="1" applyAlignment="1">
      <alignment vertical="center"/>
    </xf>
    <xf numFmtId="206" fontId="0" fillId="0" borderId="19" xfId="0" applyNumberFormat="1" applyBorder="1" applyAlignment="1">
      <alignment vertical="center"/>
    </xf>
    <xf numFmtId="206" fontId="0" fillId="0" borderId="21" xfId="0" applyNumberFormat="1" applyBorder="1" applyAlignment="1">
      <alignment vertical="center"/>
    </xf>
    <xf numFmtId="206" fontId="0" fillId="0" borderId="22" xfId="0" applyNumberFormat="1" applyBorder="1" applyAlignment="1">
      <alignment vertical="center"/>
    </xf>
    <xf numFmtId="206" fontId="0" fillId="0" borderId="13" xfId="0" applyNumberFormat="1" applyBorder="1" applyAlignment="1">
      <alignment vertical="center"/>
    </xf>
    <xf numFmtId="206" fontId="0" fillId="0" borderId="23" xfId="0" applyNumberFormat="1" applyBorder="1" applyAlignment="1">
      <alignment vertical="center"/>
    </xf>
    <xf numFmtId="206" fontId="0" fillId="0" borderId="0" xfId="0" applyNumberFormat="1" applyBorder="1" applyAlignment="1">
      <alignment vertical="center"/>
    </xf>
    <xf numFmtId="206" fontId="0" fillId="0" borderId="17" xfId="0" applyNumberFormat="1" applyBorder="1" applyAlignment="1">
      <alignment vertical="center"/>
    </xf>
    <xf numFmtId="206" fontId="0" fillId="0" borderId="14" xfId="0" applyNumberForma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24" xfId="0" applyNumberFormat="1" applyBorder="1" applyAlignment="1">
      <alignment/>
    </xf>
    <xf numFmtId="206" fontId="0" fillId="0" borderId="2" xfId="0" applyNumberFormat="1" applyBorder="1" applyAlignment="1">
      <alignment vertical="center"/>
    </xf>
    <xf numFmtId="204" fontId="0" fillId="0" borderId="22" xfId="0" applyNumberFormat="1" applyBorder="1" applyAlignment="1">
      <alignment vertical="center"/>
    </xf>
    <xf numFmtId="204" fontId="0" fillId="0" borderId="23" xfId="0" applyNumberFormat="1" applyBorder="1" applyAlignment="1">
      <alignment vertical="center"/>
    </xf>
    <xf numFmtId="204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206" fontId="0" fillId="0" borderId="12" xfId="0" applyNumberFormat="1" applyBorder="1" applyAlignment="1">
      <alignment vertical="center"/>
    </xf>
    <xf numFmtId="206" fontId="0" fillId="0" borderId="25" xfId="0" applyNumberFormat="1" applyBorder="1" applyAlignment="1">
      <alignment vertical="center"/>
    </xf>
    <xf numFmtId="204" fontId="0" fillId="0" borderId="14" xfId="0" applyNumberFormat="1" applyBorder="1" applyAlignment="1">
      <alignment vertical="center"/>
    </xf>
    <xf numFmtId="206" fontId="0" fillId="0" borderId="16" xfId="0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17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204" fontId="0" fillId="0" borderId="21" xfId="0" applyNumberFormat="1" applyBorder="1" applyAlignment="1">
      <alignment vertical="center"/>
    </xf>
    <xf numFmtId="204" fontId="0" fillId="0" borderId="16" xfId="0" applyNumberFormat="1" applyBorder="1" applyAlignment="1">
      <alignment vertical="center"/>
    </xf>
    <xf numFmtId="204" fontId="0" fillId="0" borderId="17" xfId="0" applyNumberFormat="1" applyBorder="1" applyAlignment="1">
      <alignment vertical="center"/>
    </xf>
    <xf numFmtId="203" fontId="0" fillId="0" borderId="19" xfId="0" applyNumberFormat="1" applyBorder="1" applyAlignment="1">
      <alignment vertical="center"/>
    </xf>
    <xf numFmtId="203" fontId="0" fillId="0" borderId="21" xfId="0" applyNumberFormat="1" applyBorder="1" applyAlignment="1">
      <alignment vertical="center"/>
    </xf>
    <xf numFmtId="204" fontId="0" fillId="0" borderId="2" xfId="0" applyNumberFormat="1" applyBorder="1" applyAlignment="1">
      <alignment vertical="center"/>
    </xf>
    <xf numFmtId="203" fontId="0" fillId="0" borderId="17" xfId="0" applyNumberFormat="1" applyBorder="1" applyAlignment="1">
      <alignment horizontal="right" vertical="center"/>
    </xf>
    <xf numFmtId="20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213" fontId="0" fillId="0" borderId="2" xfId="0" applyNumberFormat="1" applyBorder="1" applyAlignment="1">
      <alignment vertical="center"/>
    </xf>
    <xf numFmtId="204" fontId="0" fillId="0" borderId="12" xfId="0" applyNumberFormat="1" applyBorder="1" applyAlignment="1">
      <alignment vertical="center"/>
    </xf>
    <xf numFmtId="204" fontId="0" fillId="0" borderId="25" xfId="0" applyNumberFormat="1" applyBorder="1" applyAlignment="1">
      <alignment vertical="center"/>
    </xf>
    <xf numFmtId="207" fontId="0" fillId="0" borderId="2" xfId="0" applyNumberFormat="1" applyBorder="1" applyAlignment="1">
      <alignment vertical="center"/>
    </xf>
    <xf numFmtId="207" fontId="0" fillId="0" borderId="13" xfId="0" applyNumberFormat="1" applyBorder="1" applyAlignment="1">
      <alignment vertical="center"/>
    </xf>
    <xf numFmtId="207" fontId="0" fillId="0" borderId="0" xfId="0" applyNumberFormat="1" applyBorder="1" applyAlignment="1">
      <alignment vertical="center"/>
    </xf>
    <xf numFmtId="207" fontId="0" fillId="0" borderId="14" xfId="0" applyNumberFormat="1" applyBorder="1" applyAlignment="1">
      <alignment vertical="center"/>
    </xf>
    <xf numFmtId="204" fontId="0" fillId="0" borderId="15" xfId="0" applyNumberFormat="1" applyBorder="1" applyAlignment="1">
      <alignment vertical="center"/>
    </xf>
    <xf numFmtId="204" fontId="0" fillId="0" borderId="18" xfId="0" applyNumberFormat="1" applyBorder="1" applyAlignment="1">
      <alignment vertical="center"/>
    </xf>
    <xf numFmtId="206" fontId="0" fillId="0" borderId="15" xfId="0" applyNumberFormat="1" applyBorder="1" applyAlignment="1">
      <alignment vertical="center"/>
    </xf>
    <xf numFmtId="206" fontId="0" fillId="0" borderId="18" xfId="0" applyNumberFormat="1" applyBorder="1" applyAlignment="1">
      <alignment vertical="center"/>
    </xf>
    <xf numFmtId="206" fontId="0" fillId="0" borderId="2" xfId="0" applyNumberFormat="1" applyBorder="1" applyAlignment="1">
      <alignment horizontal="right" vertical="center"/>
    </xf>
    <xf numFmtId="206" fontId="0" fillId="0" borderId="15" xfId="0" applyNumberFormat="1" applyBorder="1" applyAlignment="1">
      <alignment horizontal="right" vertical="center"/>
    </xf>
    <xf numFmtId="206" fontId="0" fillId="0" borderId="13" xfId="0" applyNumberFormat="1" applyBorder="1" applyAlignment="1">
      <alignment horizontal="right" vertical="center"/>
    </xf>
    <xf numFmtId="206" fontId="0" fillId="0" borderId="16" xfId="0" applyNumberFormat="1" applyBorder="1" applyAlignment="1">
      <alignment horizontal="right" vertical="center"/>
    </xf>
    <xf numFmtId="206" fontId="0" fillId="0" borderId="0" xfId="0" applyNumberFormat="1" applyBorder="1" applyAlignment="1">
      <alignment horizontal="right" vertical="center"/>
    </xf>
    <xf numFmtId="206" fontId="0" fillId="0" borderId="17" xfId="0" applyNumberFormat="1" applyBorder="1" applyAlignment="1">
      <alignment horizontal="right" vertical="center"/>
    </xf>
    <xf numFmtId="206" fontId="0" fillId="0" borderId="14" xfId="0" applyNumberFormat="1" applyBorder="1" applyAlignment="1">
      <alignment horizontal="right" vertical="center"/>
    </xf>
    <xf numFmtId="206" fontId="0" fillId="0" borderId="18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4" fontId="0" fillId="0" borderId="0" xfId="0" applyNumberFormat="1" applyAlignment="1">
      <alignment vertical="center"/>
    </xf>
    <xf numFmtId="0" fontId="0" fillId="0" borderId="18" xfId="0" applyBorder="1" applyAlignment="1">
      <alignment horizontal="center" vertical="center"/>
    </xf>
    <xf numFmtId="213" fontId="0" fillId="0" borderId="21" xfId="0" applyNumberFormat="1" applyBorder="1" applyAlignment="1">
      <alignment vertical="center"/>
    </xf>
    <xf numFmtId="213" fontId="0" fillId="0" borderId="17" xfId="0" applyNumberFormat="1" applyBorder="1" applyAlignment="1">
      <alignment vertical="center"/>
    </xf>
    <xf numFmtId="21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213" fontId="0" fillId="0" borderId="19" xfId="0" applyNumberFormat="1" applyBorder="1" applyAlignment="1">
      <alignment/>
    </xf>
    <xf numFmtId="21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213" fontId="0" fillId="0" borderId="17" xfId="0" applyNumberFormat="1" applyBorder="1" applyAlignment="1">
      <alignment/>
    </xf>
    <xf numFmtId="205" fontId="0" fillId="0" borderId="17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05" fontId="0" fillId="0" borderId="0" xfId="0" applyNumberFormat="1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205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0" fillId="0" borderId="17" xfId="0" applyBorder="1" applyAlignment="1">
      <alignment vertical="center"/>
    </xf>
    <xf numFmtId="180" fontId="0" fillId="0" borderId="17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03" fontId="0" fillId="0" borderId="20" xfId="0" applyNumberFormat="1" applyBorder="1" applyAlignment="1">
      <alignment vertical="center"/>
    </xf>
    <xf numFmtId="203" fontId="0" fillId="0" borderId="22" xfId="0" applyNumberFormat="1" applyBorder="1" applyAlignment="1">
      <alignment vertical="center"/>
    </xf>
    <xf numFmtId="203" fontId="0" fillId="0" borderId="23" xfId="0" applyNumberFormat="1" applyBorder="1" applyAlignment="1">
      <alignment vertical="center"/>
    </xf>
    <xf numFmtId="203" fontId="0" fillId="0" borderId="25" xfId="0" applyNumberFormat="1" applyBorder="1" applyAlignment="1">
      <alignment vertical="center"/>
    </xf>
    <xf numFmtId="1" fontId="0" fillId="0" borderId="20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1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205" fontId="0" fillId="0" borderId="13" xfId="0" applyNumberFormat="1" applyBorder="1" applyAlignment="1">
      <alignment vertical="center"/>
    </xf>
    <xf numFmtId="205" fontId="0" fillId="0" borderId="0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205" fontId="0" fillId="0" borderId="14" xfId="0" applyNumberFormat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207" fontId="0" fillId="0" borderId="26" xfId="0" applyNumberFormat="1" applyFont="1" applyFill="1" applyBorder="1" applyAlignment="1">
      <alignment vertical="center"/>
    </xf>
    <xf numFmtId="207" fontId="0" fillId="0" borderId="27" xfId="0" applyNumberFormat="1" applyFont="1" applyFill="1" applyBorder="1" applyAlignment="1">
      <alignment vertical="center"/>
    </xf>
    <xf numFmtId="207" fontId="0" fillId="0" borderId="28" xfId="0" applyNumberFormat="1" applyFont="1" applyFill="1" applyBorder="1" applyAlignment="1">
      <alignment vertical="center"/>
    </xf>
    <xf numFmtId="207" fontId="0" fillId="0" borderId="22" xfId="0" applyNumberFormat="1" applyFont="1" applyFill="1" applyBorder="1" applyAlignment="1">
      <alignment vertical="center"/>
    </xf>
    <xf numFmtId="207" fontId="0" fillId="0" borderId="13" xfId="0" applyNumberFormat="1" applyFont="1" applyFill="1" applyBorder="1" applyAlignment="1">
      <alignment vertical="center"/>
    </xf>
    <xf numFmtId="207" fontId="0" fillId="0" borderId="16" xfId="0" applyNumberFormat="1" applyFont="1" applyFill="1" applyBorder="1" applyAlignment="1">
      <alignment vertical="center"/>
    </xf>
    <xf numFmtId="207" fontId="0" fillId="0" borderId="23" xfId="0" applyNumberFormat="1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vertical="center"/>
    </xf>
    <xf numFmtId="207" fontId="0" fillId="0" borderId="17" xfId="0" applyNumberFormat="1" applyFont="1" applyFill="1" applyBorder="1" applyAlignment="1">
      <alignment vertical="center"/>
    </xf>
    <xf numFmtId="3" fontId="0" fillId="0" borderId="15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5" xfId="0" applyNumberFormat="1" applyBorder="1" applyAlignment="1">
      <alignment/>
    </xf>
    <xf numFmtId="203" fontId="0" fillId="0" borderId="20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213" fontId="0" fillId="0" borderId="19" xfId="0" applyNumberFormat="1" applyFont="1" applyFill="1" applyBorder="1" applyAlignment="1">
      <alignment vertical="center"/>
    </xf>
    <xf numFmtId="213" fontId="0" fillId="0" borderId="21" xfId="0" applyNumberFormat="1" applyFont="1" applyFill="1" applyBorder="1" applyAlignment="1">
      <alignment vertical="center"/>
    </xf>
    <xf numFmtId="203" fontId="0" fillId="0" borderId="2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213" fontId="0" fillId="0" borderId="13" xfId="0" applyNumberFormat="1" applyFont="1" applyFill="1" applyBorder="1" applyAlignment="1">
      <alignment vertical="center"/>
    </xf>
    <xf numFmtId="213" fontId="0" fillId="0" borderId="16" xfId="0" applyNumberFormat="1" applyFont="1" applyFill="1" applyBorder="1" applyAlignment="1">
      <alignment vertical="center"/>
    </xf>
    <xf numFmtId="203" fontId="0" fillId="0" borderId="2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213" fontId="0" fillId="0" borderId="0" xfId="0" applyNumberFormat="1" applyFont="1" applyFill="1" applyBorder="1" applyAlignment="1">
      <alignment vertical="center"/>
    </xf>
    <xf numFmtId="213" fontId="0" fillId="0" borderId="17" xfId="0" applyNumberFormat="1" applyFont="1" applyFill="1" applyBorder="1" applyAlignment="1">
      <alignment vertical="center"/>
    </xf>
    <xf numFmtId="184" fontId="0" fillId="0" borderId="1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207" fontId="0" fillId="0" borderId="2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207" fontId="0" fillId="0" borderId="19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vertical="center"/>
    </xf>
    <xf numFmtId="212" fontId="0" fillId="0" borderId="20" xfId="0" applyNumberFormat="1" applyFont="1" applyFill="1" applyBorder="1" applyAlignment="1">
      <alignment vertical="center"/>
    </xf>
    <xf numFmtId="212" fontId="0" fillId="0" borderId="19" xfId="0" applyNumberFormat="1" applyFont="1" applyFill="1" applyBorder="1" applyAlignment="1">
      <alignment vertical="center"/>
    </xf>
    <xf numFmtId="212" fontId="0" fillId="0" borderId="21" xfId="0" applyNumberFormat="1" applyFont="1" applyFill="1" applyBorder="1" applyAlignment="1">
      <alignment vertical="center"/>
    </xf>
    <xf numFmtId="212" fontId="0" fillId="0" borderId="22" xfId="0" applyNumberFormat="1" applyFont="1" applyFill="1" applyBorder="1" applyAlignment="1">
      <alignment vertical="center"/>
    </xf>
    <xf numFmtId="212" fontId="0" fillId="0" borderId="13" xfId="0" applyNumberFormat="1" applyFont="1" applyFill="1" applyBorder="1" applyAlignment="1">
      <alignment vertical="center"/>
    </xf>
    <xf numFmtId="212" fontId="0" fillId="0" borderId="16" xfId="0" applyNumberFormat="1" applyFont="1" applyFill="1" applyBorder="1" applyAlignment="1">
      <alignment vertical="center"/>
    </xf>
    <xf numFmtId="212" fontId="0" fillId="0" borderId="23" xfId="0" applyNumberFormat="1" applyFont="1" applyFill="1" applyBorder="1" applyAlignment="1">
      <alignment vertical="center"/>
    </xf>
    <xf numFmtId="212" fontId="0" fillId="0" borderId="0" xfId="0" applyNumberFormat="1" applyFont="1" applyFill="1" applyBorder="1" applyAlignment="1">
      <alignment vertical="center"/>
    </xf>
    <xf numFmtId="212" fontId="0" fillId="0" borderId="17" xfId="0" applyNumberFormat="1" applyFont="1" applyFill="1" applyBorder="1" applyAlignment="1">
      <alignment vertical="center"/>
    </xf>
    <xf numFmtId="206" fontId="0" fillId="0" borderId="20" xfId="0" applyNumberFormat="1" applyFont="1" applyFill="1" applyBorder="1" applyAlignment="1">
      <alignment horizontal="right" vertical="center"/>
    </xf>
    <xf numFmtId="206" fontId="0" fillId="0" borderId="19" xfId="0" applyNumberFormat="1" applyFont="1" applyFill="1" applyBorder="1" applyAlignment="1">
      <alignment horizontal="right" vertical="center"/>
    </xf>
    <xf numFmtId="206" fontId="0" fillId="0" borderId="21" xfId="0" applyNumberFormat="1" applyFont="1" applyFill="1" applyBorder="1" applyAlignment="1">
      <alignment horizontal="right" vertical="center"/>
    </xf>
    <xf numFmtId="206" fontId="0" fillId="0" borderId="23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center"/>
    </xf>
    <xf numFmtId="206" fontId="0" fillId="0" borderId="17" xfId="0" applyNumberFormat="1" applyFont="1" applyFill="1" applyBorder="1" applyAlignment="1">
      <alignment horizontal="right" vertical="center"/>
    </xf>
    <xf numFmtId="207" fontId="0" fillId="0" borderId="19" xfId="27" applyNumberFormat="1" applyFont="1" applyFill="1" applyBorder="1" applyAlignment="1">
      <alignment vertical="center"/>
      <protection/>
    </xf>
    <xf numFmtId="207" fontId="0" fillId="0" borderId="21" xfId="27" applyNumberFormat="1" applyFont="1" applyFill="1" applyBorder="1" applyAlignment="1">
      <alignment vertical="center"/>
      <protection/>
    </xf>
    <xf numFmtId="207" fontId="0" fillId="0" borderId="0" xfId="27" applyNumberFormat="1" applyFont="1" applyFill="1" applyBorder="1" applyAlignment="1">
      <alignment vertical="center"/>
      <protection/>
    </xf>
    <xf numFmtId="207" fontId="0" fillId="0" borderId="17" xfId="27" applyNumberFormat="1" applyFont="1" applyFill="1" applyBorder="1" applyAlignment="1">
      <alignment vertical="center"/>
      <protection/>
    </xf>
    <xf numFmtId="207" fontId="0" fillId="0" borderId="2" xfId="0" applyNumberFormat="1" applyFont="1" applyBorder="1" applyAlignment="1">
      <alignment/>
    </xf>
    <xf numFmtId="207" fontId="0" fillId="0" borderId="2" xfId="0" applyNumberFormat="1" applyBorder="1" applyAlignment="1">
      <alignment/>
    </xf>
    <xf numFmtId="207" fontId="0" fillId="0" borderId="15" xfId="0" applyNumberFormat="1" applyBorder="1" applyAlignment="1">
      <alignment/>
    </xf>
    <xf numFmtId="207" fontId="0" fillId="0" borderId="0" xfId="0" applyNumberFormat="1" applyFont="1" applyBorder="1" applyAlignment="1">
      <alignment/>
    </xf>
    <xf numFmtId="207" fontId="0" fillId="0" borderId="0" xfId="0" applyNumberFormat="1" applyBorder="1" applyAlignment="1">
      <alignment/>
    </xf>
    <xf numFmtId="207" fontId="0" fillId="0" borderId="17" xfId="0" applyNumberFormat="1" applyBorder="1" applyAlignment="1">
      <alignment/>
    </xf>
    <xf numFmtId="207" fontId="0" fillId="0" borderId="0" xfId="0" applyNumberFormat="1" applyFont="1" applyFill="1" applyBorder="1" applyAlignment="1">
      <alignment/>
    </xf>
    <xf numFmtId="207" fontId="0" fillId="0" borderId="14" xfId="0" applyNumberFormat="1" applyFont="1" applyBorder="1" applyAlignment="1">
      <alignment/>
    </xf>
    <xf numFmtId="207" fontId="0" fillId="0" borderId="14" xfId="0" applyNumberFormat="1" applyBorder="1" applyAlignment="1">
      <alignment/>
    </xf>
    <xf numFmtId="207" fontId="0" fillId="0" borderId="18" xfId="0" applyNumberFormat="1" applyBorder="1" applyAlignment="1">
      <alignment/>
    </xf>
    <xf numFmtId="3" fontId="0" fillId="0" borderId="0" xfId="27" applyNumberFormat="1" applyFont="1" applyFill="1" applyBorder="1" applyAlignment="1">
      <alignment vertical="center"/>
      <protection/>
    </xf>
    <xf numFmtId="207" fontId="0" fillId="0" borderId="13" xfId="0" applyNumberFormat="1" applyBorder="1" applyAlignment="1">
      <alignment/>
    </xf>
    <xf numFmtId="207" fontId="0" fillId="0" borderId="13" xfId="0" applyNumberFormat="1" applyFill="1" applyBorder="1" applyAlignment="1">
      <alignment/>
    </xf>
    <xf numFmtId="207" fontId="0" fillId="0" borderId="0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213" fontId="0" fillId="0" borderId="15" xfId="0" applyNumberFormat="1" applyBorder="1" applyAlignment="1">
      <alignment/>
    </xf>
    <xf numFmtId="3" fontId="0" fillId="0" borderId="26" xfId="27" applyNumberFormat="1" applyFont="1" applyFill="1" applyBorder="1" applyAlignment="1">
      <alignment vertical="center"/>
      <protection/>
    </xf>
    <xf numFmtId="3" fontId="0" fillId="0" borderId="27" xfId="27" applyNumberFormat="1" applyFont="1" applyFill="1" applyBorder="1" applyAlignment="1">
      <alignment vertical="center"/>
      <protection/>
    </xf>
    <xf numFmtId="3" fontId="0" fillId="0" borderId="28" xfId="27" applyNumberFormat="1" applyFont="1" applyFill="1" applyBorder="1" applyAlignment="1">
      <alignment vertical="center"/>
      <protection/>
    </xf>
    <xf numFmtId="3" fontId="0" fillId="0" borderId="22" xfId="27" applyNumberFormat="1" applyFont="1" applyFill="1" applyBorder="1" applyAlignment="1">
      <alignment vertical="center"/>
      <protection/>
    </xf>
    <xf numFmtId="3" fontId="0" fillId="0" borderId="13" xfId="27" applyNumberFormat="1" applyFont="1" applyFill="1" applyBorder="1" applyAlignment="1">
      <alignment vertical="center"/>
      <protection/>
    </xf>
    <xf numFmtId="3" fontId="0" fillId="0" borderId="16" xfId="27" applyNumberFormat="1" applyFont="1" applyFill="1" applyBorder="1" applyAlignment="1">
      <alignment vertical="center"/>
      <protection/>
    </xf>
    <xf numFmtId="3" fontId="0" fillId="0" borderId="23" xfId="27" applyNumberFormat="1" applyFont="1" applyFill="1" applyBorder="1" applyAlignment="1">
      <alignment vertical="center"/>
      <protection/>
    </xf>
    <xf numFmtId="3" fontId="0" fillId="0" borderId="17" xfId="27" applyNumberFormat="1" applyFont="1" applyFill="1" applyBorder="1" applyAlignment="1">
      <alignment vertical="center"/>
      <protection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204" fontId="0" fillId="0" borderId="20" xfId="27" applyNumberFormat="1" applyFont="1" applyFill="1" applyBorder="1" applyAlignment="1">
      <alignment vertical="center"/>
      <protection/>
    </xf>
    <xf numFmtId="3" fontId="0" fillId="0" borderId="19" xfId="27" applyNumberFormat="1" applyFont="1" applyFill="1" applyBorder="1" applyAlignment="1">
      <alignment vertical="center"/>
      <protection/>
    </xf>
    <xf numFmtId="204" fontId="0" fillId="0" borderId="19" xfId="27" applyNumberFormat="1" applyFont="1" applyFill="1" applyBorder="1" applyAlignment="1">
      <alignment vertical="center"/>
      <protection/>
    </xf>
    <xf numFmtId="204" fontId="0" fillId="0" borderId="21" xfId="27" applyNumberFormat="1" applyFont="1" applyFill="1" applyBorder="1" applyAlignment="1">
      <alignment vertical="center"/>
      <protection/>
    </xf>
    <xf numFmtId="204" fontId="0" fillId="0" borderId="22" xfId="27" applyNumberFormat="1" applyFont="1" applyFill="1" applyBorder="1" applyAlignment="1">
      <alignment vertical="center"/>
      <protection/>
    </xf>
    <xf numFmtId="204" fontId="0" fillId="0" borderId="13" xfId="27" applyNumberFormat="1" applyFont="1" applyFill="1" applyBorder="1" applyAlignment="1">
      <alignment vertical="center"/>
      <protection/>
    </xf>
    <xf numFmtId="204" fontId="0" fillId="0" borderId="16" xfId="27" applyNumberFormat="1" applyFont="1" applyFill="1" applyBorder="1" applyAlignment="1">
      <alignment vertical="center"/>
      <protection/>
    </xf>
    <xf numFmtId="204" fontId="0" fillId="0" borderId="23" xfId="27" applyNumberFormat="1" applyFont="1" applyFill="1" applyBorder="1" applyAlignment="1">
      <alignment vertical="center"/>
      <protection/>
    </xf>
    <xf numFmtId="204" fontId="0" fillId="0" borderId="0" xfId="27" applyNumberFormat="1" applyFont="1" applyFill="1" applyBorder="1" applyAlignment="1">
      <alignment vertical="center"/>
      <protection/>
    </xf>
    <xf numFmtId="204" fontId="0" fillId="0" borderId="17" xfId="27" applyNumberFormat="1" applyFont="1" applyFill="1" applyBorder="1" applyAlignment="1">
      <alignment vertical="center"/>
      <protection/>
    </xf>
    <xf numFmtId="204" fontId="0" fillId="0" borderId="15" xfId="0" applyNumberFormat="1" applyBorder="1" applyAlignment="1">
      <alignment horizontal="right" vertical="center"/>
    </xf>
    <xf numFmtId="204" fontId="0" fillId="0" borderId="16" xfId="0" applyNumberFormat="1" applyBorder="1" applyAlignment="1">
      <alignment horizontal="right" vertical="center"/>
    </xf>
    <xf numFmtId="204" fontId="0" fillId="0" borderId="17" xfId="0" applyNumberFormat="1" applyBorder="1" applyAlignment="1">
      <alignment horizontal="right" vertical="center"/>
    </xf>
    <xf numFmtId="204" fontId="0" fillId="0" borderId="18" xfId="0" applyNumberFormat="1" applyBorder="1" applyAlignment="1">
      <alignment horizontal="right" vertical="center"/>
    </xf>
    <xf numFmtId="3" fontId="0" fillId="0" borderId="20" xfId="27" applyNumberFormat="1" applyFont="1" applyFill="1" applyBorder="1" applyAlignment="1">
      <alignment vertical="center"/>
      <protection/>
    </xf>
    <xf numFmtId="3" fontId="0" fillId="0" borderId="21" xfId="27" applyNumberFormat="1" applyFont="1" applyFill="1" applyBorder="1" applyAlignment="1">
      <alignment vertical="center"/>
      <protection/>
    </xf>
    <xf numFmtId="3" fontId="0" fillId="0" borderId="13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206" fontId="0" fillId="0" borderId="20" xfId="27" applyNumberFormat="1" applyFont="1" applyFill="1" applyBorder="1" applyAlignment="1">
      <alignment vertical="center"/>
      <protection/>
    </xf>
    <xf numFmtId="206" fontId="0" fillId="0" borderId="19" xfId="27" applyNumberFormat="1" applyFont="1" applyFill="1" applyBorder="1" applyAlignment="1">
      <alignment vertical="center"/>
      <protection/>
    </xf>
    <xf numFmtId="206" fontId="0" fillId="0" borderId="22" xfId="27" applyNumberFormat="1" applyFont="1" applyFill="1" applyBorder="1" applyAlignment="1">
      <alignment vertical="center"/>
      <protection/>
    </xf>
    <xf numFmtId="206" fontId="0" fillId="0" borderId="13" xfId="27" applyNumberFormat="1" applyFont="1" applyFill="1" applyBorder="1" applyAlignment="1">
      <alignment vertical="center"/>
      <protection/>
    </xf>
    <xf numFmtId="206" fontId="0" fillId="0" borderId="23" xfId="27" applyNumberFormat="1" applyFont="1" applyFill="1" applyBorder="1" applyAlignment="1">
      <alignment vertical="center"/>
      <protection/>
    </xf>
    <xf numFmtId="206" fontId="0" fillId="0" borderId="0" xfId="27" applyNumberFormat="1" applyFont="1" applyFill="1" applyBorder="1" applyAlignment="1">
      <alignment vertical="center"/>
      <protection/>
    </xf>
    <xf numFmtId="212" fontId="0" fillId="0" borderId="12" xfId="0" applyNumberFormat="1" applyBorder="1" applyAlignment="1">
      <alignment horizontal="right" vertical="center"/>
    </xf>
    <xf numFmtId="212" fontId="0" fillId="0" borderId="2" xfId="0" applyNumberFormat="1" applyBorder="1" applyAlignment="1">
      <alignment horizontal="right" vertical="center"/>
    </xf>
    <xf numFmtId="212" fontId="0" fillId="0" borderId="15" xfId="0" applyNumberFormat="1" applyBorder="1" applyAlignment="1">
      <alignment horizontal="right" vertical="center"/>
    </xf>
    <xf numFmtId="212" fontId="0" fillId="0" borderId="22" xfId="0" applyNumberFormat="1" applyBorder="1" applyAlignment="1">
      <alignment horizontal="right" vertical="center"/>
    </xf>
    <xf numFmtId="212" fontId="0" fillId="0" borderId="13" xfId="0" applyNumberFormat="1" applyBorder="1" applyAlignment="1">
      <alignment horizontal="right" vertical="center"/>
    </xf>
    <xf numFmtId="212" fontId="0" fillId="0" borderId="16" xfId="0" applyNumberFormat="1" applyBorder="1" applyAlignment="1">
      <alignment horizontal="right" vertical="center"/>
    </xf>
    <xf numFmtId="212" fontId="0" fillId="0" borderId="23" xfId="0" applyNumberFormat="1" applyBorder="1" applyAlignment="1">
      <alignment horizontal="right" vertical="center"/>
    </xf>
    <xf numFmtId="212" fontId="0" fillId="0" borderId="0" xfId="0" applyNumberFormat="1" applyBorder="1" applyAlignment="1">
      <alignment horizontal="right" vertical="center"/>
    </xf>
    <xf numFmtId="212" fontId="0" fillId="0" borderId="17" xfId="0" applyNumberFormat="1" applyBorder="1" applyAlignment="1">
      <alignment horizontal="right" vertical="center"/>
    </xf>
    <xf numFmtId="212" fontId="0" fillId="0" borderId="25" xfId="0" applyNumberFormat="1" applyBorder="1" applyAlignment="1">
      <alignment horizontal="right" vertical="center"/>
    </xf>
    <xf numFmtId="212" fontId="0" fillId="0" borderId="14" xfId="0" applyNumberFormat="1" applyBorder="1" applyAlignment="1">
      <alignment horizontal="right" vertical="center"/>
    </xf>
    <xf numFmtId="212" fontId="0" fillId="0" borderId="18" xfId="0" applyNumberFormat="1" applyBorder="1" applyAlignment="1">
      <alignment horizontal="right" vertical="center"/>
    </xf>
    <xf numFmtId="206" fontId="0" fillId="0" borderId="21" xfId="27" applyNumberFormat="1" applyFont="1" applyFill="1" applyBorder="1" applyAlignment="1">
      <alignment vertical="center"/>
      <protection/>
    </xf>
    <xf numFmtId="206" fontId="0" fillId="0" borderId="17" xfId="27" applyNumberFormat="1" applyFont="1" applyFill="1" applyBorder="1" applyAlignment="1">
      <alignment vertical="center"/>
      <protection/>
    </xf>
    <xf numFmtId="206" fontId="0" fillId="0" borderId="12" xfId="0" applyNumberFormat="1" applyBorder="1" applyAlignment="1">
      <alignment horizontal="right" vertical="center"/>
    </xf>
    <xf numFmtId="206" fontId="0" fillId="0" borderId="22" xfId="0" applyNumberFormat="1" applyBorder="1" applyAlignment="1">
      <alignment horizontal="right" vertical="center"/>
    </xf>
    <xf numFmtId="206" fontId="0" fillId="0" borderId="23" xfId="0" applyNumberFormat="1" applyBorder="1" applyAlignment="1">
      <alignment horizontal="right" vertical="center"/>
    </xf>
    <xf numFmtId="206" fontId="0" fillId="0" borderId="25" xfId="0" applyNumberFormat="1" applyBorder="1" applyAlignment="1">
      <alignment horizontal="right" vertical="center"/>
    </xf>
    <xf numFmtId="3" fontId="0" fillId="0" borderId="12" xfId="24" applyNumberFormat="1" applyBorder="1" applyAlignment="1">
      <alignment vertical="center"/>
    </xf>
    <xf numFmtId="3" fontId="0" fillId="0" borderId="2" xfId="24" applyNumberFormat="1" applyBorder="1" applyAlignment="1">
      <alignment vertical="center"/>
    </xf>
    <xf numFmtId="3" fontId="0" fillId="0" borderId="23" xfId="24" applyNumberFormat="1" applyBorder="1" applyAlignment="1">
      <alignment vertical="center"/>
    </xf>
    <xf numFmtId="3" fontId="0" fillId="0" borderId="0" xfId="24" applyNumberFormat="1" applyBorder="1" applyAlignment="1">
      <alignment vertical="center"/>
    </xf>
    <xf numFmtId="3" fontId="0" fillId="0" borderId="19" xfId="24" applyNumberFormat="1" applyFont="1" applyBorder="1" applyAlignment="1">
      <alignment vertical="center"/>
    </xf>
    <xf numFmtId="3" fontId="0" fillId="0" borderId="25" xfId="24" applyNumberFormat="1" applyBorder="1" applyAlignment="1">
      <alignment vertical="center"/>
    </xf>
    <xf numFmtId="3" fontId="0" fillId="0" borderId="14" xfId="24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207" fontId="0" fillId="0" borderId="27" xfId="0" applyNumberFormat="1" applyBorder="1" applyAlignment="1">
      <alignment vertical="center"/>
    </xf>
    <xf numFmtId="41" fontId="0" fillId="0" borderId="21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0" fillId="0" borderId="19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203" fontId="0" fillId="0" borderId="2" xfId="0" applyNumberFormat="1" applyBorder="1" applyAlignment="1">
      <alignment vertical="center"/>
    </xf>
    <xf numFmtId="203" fontId="0" fillId="0" borderId="15" xfId="0" applyNumberFormat="1" applyBorder="1" applyAlignment="1">
      <alignment vertical="center"/>
    </xf>
    <xf numFmtId="203" fontId="0" fillId="0" borderId="13" xfId="0" applyNumberFormat="1" applyBorder="1" applyAlignment="1">
      <alignment vertical="center"/>
    </xf>
    <xf numFmtId="203" fontId="0" fillId="0" borderId="16" xfId="0" applyNumberFormat="1" applyBorder="1" applyAlignment="1">
      <alignment vertical="center"/>
    </xf>
    <xf numFmtId="203" fontId="0" fillId="0" borderId="14" xfId="0" applyNumberFormat="1" applyBorder="1" applyAlignment="1">
      <alignment vertical="center"/>
    </xf>
    <xf numFmtId="203" fontId="0" fillId="0" borderId="18" xfId="0" applyNumberFormat="1" applyBorder="1" applyAlignment="1">
      <alignment vertical="center"/>
    </xf>
    <xf numFmtId="185" fontId="0" fillId="0" borderId="27" xfId="0" applyNumberFormat="1" applyBorder="1" applyAlignment="1" quotePrefix="1">
      <alignment horizontal="center" vertical="center"/>
    </xf>
    <xf numFmtId="204" fontId="0" fillId="0" borderId="28" xfId="0" applyNumberFormat="1" applyBorder="1" applyAlignment="1">
      <alignment vertical="center"/>
    </xf>
    <xf numFmtId="185" fontId="0" fillId="0" borderId="0" xfId="0" applyNumberFormat="1" applyBorder="1" applyAlignment="1" quotePrefix="1">
      <alignment horizontal="center" vertical="center"/>
    </xf>
    <xf numFmtId="213" fontId="0" fillId="0" borderId="15" xfId="0" applyNumberFormat="1" applyBorder="1" applyAlignment="1">
      <alignment vertical="center"/>
    </xf>
    <xf numFmtId="213" fontId="0" fillId="0" borderId="16" xfId="0" applyNumberForma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213" fontId="0" fillId="0" borderId="18" xfId="0" applyNumberFormat="1" applyBorder="1" applyAlignment="1">
      <alignment vertical="center"/>
    </xf>
    <xf numFmtId="213" fontId="0" fillId="0" borderId="13" xfId="0" applyNumberFormat="1" applyBorder="1" applyAlignment="1">
      <alignment vertical="center"/>
    </xf>
    <xf numFmtId="213" fontId="0" fillId="0" borderId="0" xfId="0" applyNumberFormat="1" applyBorder="1" applyAlignment="1">
      <alignment vertical="center"/>
    </xf>
    <xf numFmtId="213" fontId="0" fillId="0" borderId="12" xfId="0" applyNumberFormat="1" applyBorder="1" applyAlignment="1">
      <alignment vertical="center"/>
    </xf>
    <xf numFmtId="213" fontId="0" fillId="0" borderId="22" xfId="0" applyNumberFormat="1" applyBorder="1" applyAlignment="1">
      <alignment vertical="center"/>
    </xf>
    <xf numFmtId="213" fontId="0" fillId="0" borderId="23" xfId="0" applyNumberFormat="1" applyBorder="1" applyAlignment="1">
      <alignment vertical="center"/>
    </xf>
    <xf numFmtId="213" fontId="0" fillId="0" borderId="25" xfId="0" applyNumberFormat="1" applyBorder="1" applyAlignment="1">
      <alignment vertical="center"/>
    </xf>
    <xf numFmtId="213" fontId="0" fillId="0" borderId="14" xfId="0" applyNumberFormat="1" applyBorder="1" applyAlignment="1">
      <alignment vertical="center"/>
    </xf>
    <xf numFmtId="212" fontId="0" fillId="0" borderId="12" xfId="0" applyNumberFormat="1" applyBorder="1" applyAlignment="1">
      <alignment vertical="center"/>
    </xf>
    <xf numFmtId="212" fontId="0" fillId="0" borderId="2" xfId="0" applyNumberFormat="1" applyBorder="1" applyAlignment="1">
      <alignment vertical="center"/>
    </xf>
    <xf numFmtId="212" fontId="0" fillId="0" borderId="15" xfId="0" applyNumberFormat="1" applyBorder="1" applyAlignment="1">
      <alignment vertical="center"/>
    </xf>
    <xf numFmtId="212" fontId="0" fillId="0" borderId="22" xfId="0" applyNumberFormat="1" applyBorder="1" applyAlignment="1">
      <alignment vertical="center"/>
    </xf>
    <xf numFmtId="212" fontId="0" fillId="0" borderId="13" xfId="0" applyNumberFormat="1" applyBorder="1" applyAlignment="1">
      <alignment vertical="center"/>
    </xf>
    <xf numFmtId="212" fontId="0" fillId="0" borderId="16" xfId="0" applyNumberFormat="1" applyBorder="1" applyAlignment="1">
      <alignment vertical="center"/>
    </xf>
    <xf numFmtId="212" fontId="0" fillId="0" borderId="23" xfId="0" applyNumberFormat="1" applyBorder="1" applyAlignment="1">
      <alignment vertical="center"/>
    </xf>
    <xf numFmtId="212" fontId="0" fillId="0" borderId="0" xfId="0" applyNumberFormat="1" applyBorder="1" applyAlignment="1">
      <alignment vertical="center"/>
    </xf>
    <xf numFmtId="212" fontId="0" fillId="0" borderId="17" xfId="0" applyNumberFormat="1" applyBorder="1" applyAlignment="1">
      <alignment vertical="center"/>
    </xf>
    <xf numFmtId="212" fontId="0" fillId="0" borderId="25" xfId="0" applyNumberFormat="1" applyBorder="1" applyAlignment="1">
      <alignment vertical="center"/>
    </xf>
    <xf numFmtId="212" fontId="0" fillId="0" borderId="14" xfId="0" applyNumberFormat="1" applyBorder="1" applyAlignment="1">
      <alignment vertical="center"/>
    </xf>
    <xf numFmtId="212" fontId="0" fillId="0" borderId="18" xfId="0" applyNumberFormat="1" applyBorder="1" applyAlignment="1">
      <alignment vertical="center"/>
    </xf>
    <xf numFmtId="218" fontId="0" fillId="0" borderId="2" xfId="0" applyNumberFormat="1" applyBorder="1" applyAlignment="1">
      <alignment vertical="center"/>
    </xf>
    <xf numFmtId="218" fontId="0" fillId="0" borderId="15" xfId="0" applyNumberFormat="1" applyBorder="1" applyAlignment="1">
      <alignment vertical="center"/>
    </xf>
    <xf numFmtId="218" fontId="0" fillId="0" borderId="13" xfId="0" applyNumberFormat="1" applyBorder="1" applyAlignment="1">
      <alignment vertical="center"/>
    </xf>
    <xf numFmtId="218" fontId="0" fillId="0" borderId="16" xfId="0" applyNumberFormat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17" xfId="0" applyNumberFormat="1" applyBorder="1" applyAlignment="1">
      <alignment vertical="center"/>
    </xf>
    <xf numFmtId="218" fontId="0" fillId="0" borderId="14" xfId="0" applyNumberFormat="1" applyBorder="1" applyAlignment="1">
      <alignment vertical="center"/>
    </xf>
    <xf numFmtId="218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185" fontId="0" fillId="0" borderId="0" xfId="0" applyNumberFormat="1" applyBorder="1" applyAlignment="1" quotePrefix="1">
      <alignment horizontal="right" vertical="center"/>
    </xf>
    <xf numFmtId="213" fontId="0" fillId="0" borderId="15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213" fontId="0" fillId="0" borderId="16" xfId="0" applyNumberFormat="1" applyFill="1" applyBorder="1" applyAlignment="1">
      <alignment vertical="center"/>
    </xf>
    <xf numFmtId="213" fontId="0" fillId="0" borderId="17" xfId="0" applyNumberFormat="1" applyFill="1" applyBorder="1" applyAlignment="1">
      <alignment vertical="center"/>
    </xf>
    <xf numFmtId="213" fontId="0" fillId="0" borderId="18" xfId="0" applyNumberFormat="1" applyFill="1" applyBorder="1" applyAlignment="1">
      <alignment vertical="center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207" fontId="0" fillId="0" borderId="23" xfId="0" applyNumberFormat="1" applyFill="1" applyBorder="1" applyAlignment="1">
      <alignment/>
    </xf>
    <xf numFmtId="207" fontId="0" fillId="0" borderId="0" xfId="0" applyNumberFormat="1" applyFill="1" applyBorder="1" applyAlignment="1">
      <alignment horizontal="right"/>
    </xf>
    <xf numFmtId="207" fontId="0" fillId="0" borderId="17" xfId="0" applyNumberFormat="1" applyFill="1" applyBorder="1" applyAlignment="1">
      <alignment/>
    </xf>
    <xf numFmtId="207" fontId="0" fillId="0" borderId="25" xfId="0" applyNumberFormat="1" applyFill="1" applyBorder="1" applyAlignment="1">
      <alignment/>
    </xf>
    <xf numFmtId="207" fontId="0" fillId="0" borderId="14" xfId="0" applyNumberFormat="1" applyFill="1" applyBorder="1" applyAlignment="1">
      <alignment horizontal="right"/>
    </xf>
    <xf numFmtId="207" fontId="0" fillId="0" borderId="18" xfId="0" applyNumberFormat="1" applyFill="1" applyBorder="1" applyAlignment="1">
      <alignment horizontal="right"/>
    </xf>
    <xf numFmtId="204" fontId="0" fillId="0" borderId="12" xfId="0" applyNumberFormat="1" applyFill="1" applyBorder="1" applyAlignment="1">
      <alignment vertical="center"/>
    </xf>
    <xf numFmtId="213" fontId="0" fillId="0" borderId="2" xfId="0" applyNumberFormat="1" applyFill="1" applyBorder="1" applyAlignment="1">
      <alignment vertical="center"/>
    </xf>
    <xf numFmtId="204" fontId="0" fillId="0" borderId="22" xfId="0" applyNumberFormat="1" applyFill="1" applyBorder="1" applyAlignment="1">
      <alignment vertical="center"/>
    </xf>
    <xf numFmtId="213" fontId="0" fillId="0" borderId="13" xfId="0" applyNumberFormat="1" applyFill="1" applyBorder="1" applyAlignment="1">
      <alignment vertical="center"/>
    </xf>
    <xf numFmtId="204" fontId="0" fillId="0" borderId="23" xfId="0" applyNumberFormat="1" applyFill="1" applyBorder="1" applyAlignment="1">
      <alignment vertical="center"/>
    </xf>
    <xf numFmtId="213" fontId="0" fillId="0" borderId="0" xfId="0" applyNumberFormat="1" applyFill="1" applyBorder="1" applyAlignment="1">
      <alignment vertical="center"/>
    </xf>
    <xf numFmtId="204" fontId="0" fillId="0" borderId="25" xfId="0" applyNumberFormat="1" applyFill="1" applyBorder="1" applyAlignment="1">
      <alignment vertical="center"/>
    </xf>
    <xf numFmtId="213" fontId="0" fillId="0" borderId="14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212" fontId="0" fillId="0" borderId="12" xfId="0" applyNumberFormat="1" applyFill="1" applyBorder="1" applyAlignment="1">
      <alignment vertical="center"/>
    </xf>
    <xf numFmtId="212" fontId="0" fillId="0" borderId="2" xfId="0" applyNumberFormat="1" applyFill="1" applyBorder="1" applyAlignment="1">
      <alignment vertical="center"/>
    </xf>
    <xf numFmtId="212" fontId="0" fillId="0" borderId="15" xfId="0" applyNumberFormat="1" applyFill="1" applyBorder="1" applyAlignment="1">
      <alignment vertical="center"/>
    </xf>
    <xf numFmtId="212" fontId="0" fillId="0" borderId="22" xfId="0" applyNumberFormat="1" applyFill="1" applyBorder="1" applyAlignment="1">
      <alignment vertical="center"/>
    </xf>
    <xf numFmtId="212" fontId="0" fillId="0" borderId="13" xfId="0" applyNumberFormat="1" applyFill="1" applyBorder="1" applyAlignment="1">
      <alignment vertical="center"/>
    </xf>
    <xf numFmtId="212" fontId="0" fillId="0" borderId="16" xfId="0" applyNumberFormat="1" applyFill="1" applyBorder="1" applyAlignment="1">
      <alignment vertical="center"/>
    </xf>
    <xf numFmtId="212" fontId="0" fillId="0" borderId="23" xfId="0" applyNumberFormat="1" applyFill="1" applyBorder="1" applyAlignment="1">
      <alignment vertical="center"/>
    </xf>
    <xf numFmtId="212" fontId="0" fillId="0" borderId="0" xfId="0" applyNumberFormat="1" applyFill="1" applyBorder="1" applyAlignment="1">
      <alignment vertical="center"/>
    </xf>
    <xf numFmtId="212" fontId="0" fillId="0" borderId="17" xfId="0" applyNumberFormat="1" applyFill="1" applyBorder="1" applyAlignment="1">
      <alignment vertical="center"/>
    </xf>
    <xf numFmtId="212" fontId="0" fillId="0" borderId="25" xfId="0" applyNumberFormat="1" applyFill="1" applyBorder="1" applyAlignment="1">
      <alignment vertical="center"/>
    </xf>
    <xf numFmtId="212" fontId="0" fillId="0" borderId="14" xfId="0" applyNumberFormat="1" applyFill="1" applyBorder="1" applyAlignment="1">
      <alignment vertical="center"/>
    </xf>
    <xf numFmtId="212" fontId="0" fillId="0" borderId="18" xfId="0" applyNumberFormat="1" applyFill="1" applyBorder="1" applyAlignment="1">
      <alignment vertical="center"/>
    </xf>
    <xf numFmtId="208" fontId="0" fillId="0" borderId="12" xfId="0" applyNumberFormat="1" applyFill="1" applyBorder="1" applyAlignment="1">
      <alignment vertical="center"/>
    </xf>
    <xf numFmtId="208" fontId="0" fillId="0" borderId="2" xfId="0" applyNumberFormat="1" applyFill="1" applyBorder="1" applyAlignment="1">
      <alignment vertical="center"/>
    </xf>
    <xf numFmtId="211" fontId="0" fillId="0" borderId="2" xfId="0" applyNumberFormat="1" applyFill="1" applyBorder="1" applyAlignment="1">
      <alignment vertical="center"/>
    </xf>
    <xf numFmtId="211" fontId="0" fillId="0" borderId="2" xfId="0" applyNumberFormat="1" applyFill="1" applyBorder="1" applyAlignment="1">
      <alignment horizontal="right" vertical="center"/>
    </xf>
    <xf numFmtId="211" fontId="0" fillId="0" borderId="15" xfId="0" applyNumberFormat="1" applyFill="1" applyBorder="1" applyAlignment="1">
      <alignment vertical="center"/>
    </xf>
    <xf numFmtId="208" fontId="0" fillId="0" borderId="22" xfId="0" applyNumberFormat="1" applyFill="1" applyBorder="1" applyAlignment="1">
      <alignment vertical="center"/>
    </xf>
    <xf numFmtId="208" fontId="0" fillId="0" borderId="13" xfId="0" applyNumberFormat="1" applyFill="1" applyBorder="1" applyAlignment="1">
      <alignment vertical="center"/>
    </xf>
    <xf numFmtId="211" fontId="0" fillId="0" borderId="13" xfId="0" applyNumberFormat="1" applyFill="1" applyBorder="1" applyAlignment="1">
      <alignment vertical="center"/>
    </xf>
    <xf numFmtId="211" fontId="0" fillId="0" borderId="13" xfId="0" applyNumberFormat="1" applyFill="1" applyBorder="1" applyAlignment="1">
      <alignment horizontal="right" vertical="center"/>
    </xf>
    <xf numFmtId="211" fontId="0" fillId="0" borderId="16" xfId="0" applyNumberFormat="1" applyFill="1" applyBorder="1" applyAlignment="1">
      <alignment vertical="center"/>
    </xf>
    <xf numFmtId="208" fontId="0" fillId="0" borderId="23" xfId="0" applyNumberFormat="1" applyFill="1" applyBorder="1" applyAlignment="1">
      <alignment vertical="center"/>
    </xf>
    <xf numFmtId="208" fontId="0" fillId="0" borderId="0" xfId="0" applyNumberFormat="1" applyFill="1" applyBorder="1" applyAlignment="1">
      <alignment vertical="center"/>
    </xf>
    <xf numFmtId="211" fontId="0" fillId="0" borderId="0" xfId="0" applyNumberFormat="1" applyFill="1" applyBorder="1" applyAlignment="1">
      <alignment vertical="center"/>
    </xf>
    <xf numFmtId="211" fontId="0" fillId="0" borderId="0" xfId="0" applyNumberFormat="1" applyFill="1" applyBorder="1" applyAlignment="1">
      <alignment horizontal="right" vertical="center"/>
    </xf>
    <xf numFmtId="211" fontId="0" fillId="0" borderId="17" xfId="0" applyNumberFormat="1" applyFill="1" applyBorder="1" applyAlignment="1">
      <alignment vertical="center"/>
    </xf>
    <xf numFmtId="208" fontId="0" fillId="0" borderId="25" xfId="0" applyNumberFormat="1" applyFill="1" applyBorder="1" applyAlignment="1">
      <alignment vertical="center"/>
    </xf>
    <xf numFmtId="208" fontId="0" fillId="0" borderId="14" xfId="0" applyNumberFormat="1" applyFill="1" applyBorder="1" applyAlignment="1">
      <alignment vertical="center"/>
    </xf>
    <xf numFmtId="211" fontId="0" fillId="0" borderId="14" xfId="0" applyNumberFormat="1" applyFill="1" applyBorder="1" applyAlignment="1">
      <alignment vertical="center"/>
    </xf>
    <xf numFmtId="211" fontId="0" fillId="0" borderId="14" xfId="0" applyNumberFormat="1" applyFill="1" applyBorder="1" applyAlignment="1">
      <alignment horizontal="right" vertical="center"/>
    </xf>
    <xf numFmtId="211" fontId="0" fillId="0" borderId="18" xfId="0" applyNumberFormat="1" applyFill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213" fontId="0" fillId="0" borderId="28" xfId="0" applyNumberForma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209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209" fontId="0" fillId="0" borderId="17" xfId="0" applyNumberFormat="1" applyBorder="1" applyAlignment="1">
      <alignment horizontal="center" vertical="center"/>
    </xf>
    <xf numFmtId="208" fontId="0" fillId="0" borderId="18" xfId="0" applyNumberFormat="1" applyBorder="1" applyAlignment="1">
      <alignment horizontal="center" vertical="center"/>
    </xf>
    <xf numFmtId="206" fontId="0" fillId="0" borderId="2" xfId="0" applyNumberFormat="1" applyFill="1" applyBorder="1" applyAlignment="1">
      <alignment vertical="center"/>
    </xf>
    <xf numFmtId="206" fontId="0" fillId="0" borderId="15" xfId="0" applyNumberFormat="1" applyFill="1" applyBorder="1" applyAlignment="1">
      <alignment vertical="center"/>
    </xf>
    <xf numFmtId="206" fontId="0" fillId="0" borderId="13" xfId="0" applyNumberFormat="1" applyFill="1" applyBorder="1" applyAlignment="1">
      <alignment vertical="center"/>
    </xf>
    <xf numFmtId="206" fontId="0" fillId="0" borderId="16" xfId="0" applyNumberFormat="1" applyFill="1" applyBorder="1" applyAlignment="1">
      <alignment vertical="center"/>
    </xf>
    <xf numFmtId="206" fontId="0" fillId="0" borderId="0" xfId="0" applyNumberFormat="1" applyFill="1" applyBorder="1" applyAlignment="1">
      <alignment vertical="center"/>
    </xf>
    <xf numFmtId="206" fontId="0" fillId="0" borderId="17" xfId="0" applyNumberFormat="1" applyFill="1" applyBorder="1" applyAlignment="1">
      <alignment vertical="center"/>
    </xf>
    <xf numFmtId="206" fontId="0" fillId="0" borderId="14" xfId="0" applyNumberFormat="1" applyFill="1" applyBorder="1" applyAlignment="1">
      <alignment vertical="center"/>
    </xf>
    <xf numFmtId="206" fontId="0" fillId="0" borderId="18" xfId="0" applyNumberFormat="1" applyFill="1" applyBorder="1" applyAlignment="1">
      <alignment vertical="center"/>
    </xf>
    <xf numFmtId="203" fontId="0" fillId="0" borderId="2" xfId="0" applyNumberFormat="1" applyBorder="1" applyAlignment="1">
      <alignment horizontal="right" vertical="center"/>
    </xf>
    <xf numFmtId="203" fontId="0" fillId="0" borderId="15" xfId="0" applyNumberFormat="1" applyBorder="1" applyAlignment="1">
      <alignment horizontal="right" vertical="center"/>
    </xf>
    <xf numFmtId="203" fontId="0" fillId="0" borderId="13" xfId="0" applyNumberFormat="1" applyBorder="1" applyAlignment="1">
      <alignment horizontal="right" vertical="center"/>
    </xf>
    <xf numFmtId="203" fontId="0" fillId="0" borderId="16" xfId="0" applyNumberFormat="1" applyBorder="1" applyAlignment="1">
      <alignment horizontal="right" vertical="center"/>
    </xf>
    <xf numFmtId="203" fontId="0" fillId="0" borderId="14" xfId="0" applyNumberFormat="1" applyBorder="1" applyAlignment="1">
      <alignment horizontal="right" vertical="center"/>
    </xf>
    <xf numFmtId="203" fontId="0" fillId="0" borderId="18" xfId="0" applyNumberFormat="1" applyBorder="1" applyAlignment="1">
      <alignment horizontal="right" vertical="center"/>
    </xf>
    <xf numFmtId="43" fontId="0" fillId="0" borderId="14" xfId="0" applyNumberFormat="1" applyBorder="1" applyAlignment="1">
      <alignment horizontal="center" vertical="center"/>
    </xf>
    <xf numFmtId="180" fontId="0" fillId="0" borderId="15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204" fontId="0" fillId="0" borderId="19" xfId="0" applyNumberFormat="1" applyBorder="1" applyAlignment="1">
      <alignment/>
    </xf>
    <xf numFmtId="204" fontId="0" fillId="0" borderId="13" xfId="0" applyNumberFormat="1" applyBorder="1" applyAlignment="1">
      <alignment/>
    </xf>
    <xf numFmtId="204" fontId="0" fillId="0" borderId="0" xfId="0" applyNumberFormat="1" applyBorder="1" applyAlignment="1">
      <alignment/>
    </xf>
    <xf numFmtId="203" fontId="0" fillId="0" borderId="26" xfId="0" applyNumberFormat="1" applyBorder="1" applyAlignment="1">
      <alignment vertical="center"/>
    </xf>
    <xf numFmtId="204" fontId="0" fillId="0" borderId="27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0" fillId="0" borderId="3" xfId="0" applyBorder="1" applyAlignment="1">
      <alignment horizontal="center" vertical="center"/>
    </xf>
    <xf numFmtId="207" fontId="0" fillId="0" borderId="20" xfId="0" applyNumberFormat="1" applyFill="1" applyBorder="1" applyAlignment="1">
      <alignment/>
    </xf>
    <xf numFmtId="207" fontId="0" fillId="0" borderId="19" xfId="0" applyNumberFormat="1" applyFill="1" applyBorder="1" applyAlignment="1">
      <alignment/>
    </xf>
    <xf numFmtId="207" fontId="0" fillId="0" borderId="19" xfId="0" applyNumberFormat="1" applyFill="1" applyBorder="1" applyAlignment="1">
      <alignment horizontal="right"/>
    </xf>
    <xf numFmtId="207" fontId="0" fillId="0" borderId="21" xfId="0" applyNumberFormat="1" applyFill="1" applyBorder="1" applyAlignment="1">
      <alignment/>
    </xf>
    <xf numFmtId="3" fontId="0" fillId="0" borderId="27" xfId="24" applyNumberFormat="1" applyBorder="1" applyAlignment="1">
      <alignment vertical="center"/>
    </xf>
    <xf numFmtId="3" fontId="0" fillId="0" borderId="28" xfId="24" applyNumberFormat="1" applyBorder="1" applyAlignment="1">
      <alignment vertical="center"/>
    </xf>
    <xf numFmtId="3" fontId="0" fillId="0" borderId="22" xfId="24" applyNumberFormat="1" applyBorder="1" applyAlignment="1">
      <alignment vertical="center"/>
    </xf>
    <xf numFmtId="3" fontId="0" fillId="0" borderId="13" xfId="24" applyNumberFormat="1" applyBorder="1" applyAlignment="1">
      <alignment vertical="center"/>
    </xf>
    <xf numFmtId="0" fontId="0" fillId="0" borderId="0" xfId="24" applyNumberFormat="1" applyFont="1" applyBorder="1" applyAlignment="1">
      <alignment horizontal="center" vertical="center"/>
    </xf>
    <xf numFmtId="3" fontId="0" fillId="0" borderId="0" xfId="24" applyNumberFormat="1" applyFont="1" applyBorder="1" applyAlignment="1">
      <alignment vertical="center"/>
    </xf>
    <xf numFmtId="3" fontId="0" fillId="0" borderId="15" xfId="24" applyNumberFormat="1" applyBorder="1" applyAlignment="1">
      <alignment vertical="center"/>
    </xf>
    <xf numFmtId="180" fontId="0" fillId="0" borderId="15" xfId="24" applyNumberFormat="1" applyBorder="1" applyAlignment="1">
      <alignment vertical="center"/>
    </xf>
    <xf numFmtId="203" fontId="0" fillId="0" borderId="12" xfId="24" applyNumberFormat="1" applyBorder="1" applyAlignment="1">
      <alignment vertical="center"/>
    </xf>
    <xf numFmtId="204" fontId="0" fillId="0" borderId="2" xfId="24" applyNumberFormat="1" applyBorder="1" applyAlignment="1">
      <alignment vertical="center"/>
    </xf>
    <xf numFmtId="202" fontId="0" fillId="0" borderId="2" xfId="24" applyNumberFormat="1" applyBorder="1" applyAlignment="1">
      <alignment vertical="center"/>
    </xf>
    <xf numFmtId="205" fontId="0" fillId="0" borderId="2" xfId="24" applyNumberFormat="1" applyBorder="1" applyAlignment="1">
      <alignment vertical="center"/>
    </xf>
    <xf numFmtId="41" fontId="0" fillId="0" borderId="2" xfId="24" applyBorder="1" applyAlignment="1">
      <alignment vertical="center"/>
    </xf>
    <xf numFmtId="206" fontId="0" fillId="0" borderId="12" xfId="24" applyNumberFormat="1" applyBorder="1" applyAlignment="1">
      <alignment vertical="center"/>
    </xf>
    <xf numFmtId="206" fontId="0" fillId="0" borderId="2" xfId="24" applyNumberFormat="1" applyBorder="1" applyAlignment="1">
      <alignment vertical="center"/>
    </xf>
    <xf numFmtId="3" fontId="0" fillId="0" borderId="17" xfId="24" applyNumberFormat="1" applyBorder="1" applyAlignment="1">
      <alignment vertical="center"/>
    </xf>
    <xf numFmtId="41" fontId="0" fillId="0" borderId="13" xfId="24" applyBorder="1" applyAlignment="1">
      <alignment horizontal="center" vertical="center"/>
    </xf>
    <xf numFmtId="3" fontId="0" fillId="0" borderId="16" xfId="24" applyNumberFormat="1" applyBorder="1" applyAlignment="1">
      <alignment vertical="center"/>
    </xf>
    <xf numFmtId="41" fontId="0" fillId="0" borderId="0" xfId="24" applyBorder="1" applyAlignment="1">
      <alignment horizontal="center" vertical="center"/>
    </xf>
    <xf numFmtId="3" fontId="0" fillId="0" borderId="18" xfId="24" applyNumberFormat="1" applyBorder="1" applyAlignment="1">
      <alignment vertical="center"/>
    </xf>
    <xf numFmtId="3" fontId="0" fillId="0" borderId="29" xfId="24" applyNumberFormat="1" applyBorder="1" applyAlignment="1">
      <alignment vertical="center"/>
    </xf>
    <xf numFmtId="3" fontId="0" fillId="0" borderId="30" xfId="24" applyNumberFormat="1" applyBorder="1" applyAlignment="1">
      <alignment vertical="center"/>
    </xf>
    <xf numFmtId="41" fontId="0" fillId="0" borderId="14" xfId="24" applyBorder="1" applyAlignment="1">
      <alignment horizontal="center" vertical="center"/>
    </xf>
    <xf numFmtId="207" fontId="0" fillId="0" borderId="19" xfId="24" applyNumberFormat="1" applyBorder="1" applyAlignment="1">
      <alignment vertical="center"/>
    </xf>
    <xf numFmtId="3" fontId="0" fillId="0" borderId="19" xfId="24" applyNumberFormat="1" applyBorder="1" applyAlignment="1">
      <alignment vertical="center"/>
    </xf>
    <xf numFmtId="207" fontId="0" fillId="0" borderId="26" xfId="24" applyNumberFormat="1" applyBorder="1" applyAlignment="1">
      <alignment vertical="center"/>
    </xf>
    <xf numFmtId="207" fontId="0" fillId="0" borderId="27" xfId="24" applyNumberFormat="1" applyBorder="1" applyAlignment="1">
      <alignment vertical="center"/>
    </xf>
    <xf numFmtId="207" fontId="0" fillId="0" borderId="28" xfId="24" applyNumberFormat="1" applyBorder="1" applyAlignment="1">
      <alignment vertical="center"/>
    </xf>
    <xf numFmtId="3" fontId="0" fillId="0" borderId="20" xfId="24" applyNumberFormat="1" applyBorder="1" applyAlignment="1">
      <alignment vertical="center"/>
    </xf>
    <xf numFmtId="3" fontId="0" fillId="0" borderId="21" xfId="24" applyNumberFormat="1" applyBorder="1" applyAlignment="1">
      <alignment vertical="center"/>
    </xf>
    <xf numFmtId="207" fontId="0" fillId="0" borderId="0" xfId="24" applyNumberFormat="1" applyBorder="1" applyAlignment="1">
      <alignment vertical="center"/>
    </xf>
    <xf numFmtId="207" fontId="0" fillId="0" borderId="17" xfId="24" applyNumberFormat="1" applyBorder="1" applyAlignment="1">
      <alignment vertical="center"/>
    </xf>
    <xf numFmtId="207" fontId="0" fillId="0" borderId="22" xfId="24" applyNumberFormat="1" applyBorder="1" applyAlignment="1">
      <alignment vertical="center"/>
    </xf>
    <xf numFmtId="207" fontId="0" fillId="0" borderId="13" xfId="24" applyNumberFormat="1" applyBorder="1" applyAlignment="1">
      <alignment vertical="center"/>
    </xf>
    <xf numFmtId="207" fontId="0" fillId="0" borderId="16" xfId="24" applyNumberFormat="1" applyBorder="1" applyAlignment="1">
      <alignment vertical="center"/>
    </xf>
    <xf numFmtId="207" fontId="0" fillId="0" borderId="23" xfId="24" applyNumberFormat="1" applyBorder="1" applyAlignment="1">
      <alignment vertical="center"/>
    </xf>
    <xf numFmtId="204" fontId="0" fillId="0" borderId="13" xfId="24" applyNumberFormat="1" applyBorder="1" applyAlignment="1">
      <alignment vertical="center"/>
    </xf>
    <xf numFmtId="204" fontId="0" fillId="0" borderId="0" xfId="24" applyNumberFormat="1" applyBorder="1" applyAlignment="1">
      <alignment vertical="center"/>
    </xf>
    <xf numFmtId="204" fontId="0" fillId="0" borderId="14" xfId="24" applyNumberFormat="1" applyBorder="1" applyAlignment="1">
      <alignment vertical="center"/>
    </xf>
    <xf numFmtId="3" fontId="0" fillId="0" borderId="2" xfId="21" applyNumberFormat="1" applyFill="1" applyBorder="1" applyAlignment="1">
      <alignment vertical="center"/>
    </xf>
    <xf numFmtId="3" fontId="0" fillId="0" borderId="13" xfId="21" applyNumberFormat="1" applyFill="1" applyBorder="1" applyAlignment="1">
      <alignment vertical="center"/>
    </xf>
    <xf numFmtId="3" fontId="0" fillId="0" borderId="0" xfId="21" applyNumberFormat="1" applyFill="1" applyBorder="1" applyAlignment="1">
      <alignment vertical="center"/>
    </xf>
    <xf numFmtId="3" fontId="0" fillId="0" borderId="14" xfId="21" applyNumberForma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3" fontId="0" fillId="0" borderId="38" xfId="0" applyNumberForma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208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0" fillId="0" borderId="49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0" fillId="0" borderId="51" xfId="0" applyNumberFormat="1" applyFont="1" applyBorder="1" applyAlignment="1">
      <alignment horizontal="center" vertical="center"/>
    </xf>
    <xf numFmtId="3" fontId="0" fillId="0" borderId="3" xfId="24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208" fontId="0" fillId="0" borderId="3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 wrapText="1"/>
    </xf>
    <xf numFmtId="3" fontId="0" fillId="0" borderId="51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3" fontId="18" fillId="0" borderId="50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65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9" fillId="0" borderId="0" xfId="0" applyFont="1" applyAlignment="1">
      <alignment/>
    </xf>
    <xf numFmtId="3" fontId="0" fillId="0" borderId="60" xfId="0" applyNumberFormat="1" applyFont="1" applyBorder="1" applyAlignment="1">
      <alignment horizontal="center" vertical="center"/>
    </xf>
    <xf numFmtId="3" fontId="0" fillId="0" borderId="61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/>
    </xf>
    <xf numFmtId="3" fontId="0" fillId="0" borderId="54" xfId="0" applyNumberFormat="1" applyFont="1" applyBorder="1" applyAlignment="1">
      <alignment horizontal="center" vertical="center"/>
    </xf>
    <xf numFmtId="207" fontId="0" fillId="0" borderId="50" xfId="0" applyNumberFormat="1" applyFont="1" applyBorder="1" applyAlignment="1">
      <alignment horizontal="center" vertical="center"/>
    </xf>
    <xf numFmtId="207" fontId="0" fillId="0" borderId="51" xfId="0" applyNumberFormat="1" applyFont="1" applyBorder="1" applyAlignment="1">
      <alignment horizontal="center" vertical="center"/>
    </xf>
    <xf numFmtId="207" fontId="0" fillId="0" borderId="3" xfId="0" applyNumberFormat="1" applyFont="1" applyBorder="1" applyAlignment="1">
      <alignment horizontal="center" vertical="center"/>
    </xf>
    <xf numFmtId="207" fontId="0" fillId="0" borderId="11" xfId="0" applyNumberFormat="1" applyFont="1" applyBorder="1" applyAlignment="1">
      <alignment horizontal="center" vertical="center"/>
    </xf>
    <xf numFmtId="3" fontId="0" fillId="0" borderId="64" xfId="0" applyNumberFormat="1" applyFon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20" fillId="0" borderId="67" xfId="0" applyNumberFormat="1" applyFont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176" fontId="20" fillId="0" borderId="50" xfId="0" applyNumberFormat="1" applyFont="1" applyBorder="1" applyAlignment="1">
      <alignment horizontal="center" vertical="center" wrapText="1"/>
    </xf>
    <xf numFmtId="176" fontId="20" fillId="0" borderId="50" xfId="0" applyNumberFormat="1" applyFont="1" applyBorder="1" applyAlignment="1">
      <alignment horizontal="center" vertical="center"/>
    </xf>
    <xf numFmtId="176" fontId="20" fillId="0" borderId="31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176" fontId="20" fillId="0" borderId="63" xfId="0" applyNumberFormat="1" applyFont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76" fontId="20" fillId="0" borderId="62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0" fontId="20" fillId="0" borderId="50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vertical="center"/>
    </xf>
    <xf numFmtId="213" fontId="0" fillId="0" borderId="18" xfId="0" applyNumberFormat="1" applyBorder="1" applyAlignment="1">
      <alignment/>
    </xf>
    <xf numFmtId="207" fontId="0" fillId="0" borderId="25" xfId="0" applyNumberFormat="1" applyBorder="1" applyAlignment="1">
      <alignment/>
    </xf>
    <xf numFmtId="207" fontId="0" fillId="0" borderId="14" xfId="0" applyNumberFormat="1" applyFill="1" applyBorder="1" applyAlignment="1">
      <alignment/>
    </xf>
    <xf numFmtId="204" fontId="0" fillId="0" borderId="18" xfId="0" applyNumberFormat="1" applyFont="1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3" fontId="0" fillId="0" borderId="68" xfId="0" applyNumberFormat="1" applyFont="1" applyFill="1" applyBorder="1" applyAlignment="1">
      <alignment vertical="center"/>
    </xf>
    <xf numFmtId="204" fontId="0" fillId="0" borderId="69" xfId="0" applyNumberFormat="1" applyFont="1" applyFill="1" applyBorder="1" applyAlignment="1">
      <alignment vertical="center"/>
    </xf>
    <xf numFmtId="204" fontId="0" fillId="0" borderId="17" xfId="0" applyNumberFormat="1" applyFont="1" applyBorder="1" applyAlignment="1">
      <alignment/>
    </xf>
    <xf numFmtId="204" fontId="0" fillId="0" borderId="15" xfId="0" applyNumberFormat="1" applyBorder="1" applyAlignment="1">
      <alignment/>
    </xf>
    <xf numFmtId="204" fontId="0" fillId="0" borderId="17" xfId="0" applyNumberFormat="1" applyBorder="1" applyAlignment="1">
      <alignment/>
    </xf>
    <xf numFmtId="213" fontId="0" fillId="0" borderId="17" xfId="27" applyNumberFormat="1" applyFont="1" applyFill="1" applyBorder="1" applyAlignment="1">
      <alignment vertical="center"/>
      <protection/>
    </xf>
    <xf numFmtId="207" fontId="0" fillId="0" borderId="12" xfId="0" applyNumberFormat="1" applyBorder="1" applyAlignment="1">
      <alignment/>
    </xf>
    <xf numFmtId="207" fontId="0" fillId="0" borderId="22" xfId="0" applyNumberFormat="1" applyBorder="1" applyAlignment="1">
      <alignment/>
    </xf>
    <xf numFmtId="204" fontId="0" fillId="0" borderId="16" xfId="0" applyNumberFormat="1" applyFont="1" applyBorder="1" applyAlignment="1">
      <alignment horizontal="right" vertical="center"/>
    </xf>
    <xf numFmtId="207" fontId="0" fillId="0" borderId="23" xfId="0" applyNumberFormat="1" applyBorder="1" applyAlignment="1">
      <alignment/>
    </xf>
    <xf numFmtId="204" fontId="0" fillId="0" borderId="17" xfId="0" applyNumberFormat="1" applyFont="1" applyBorder="1" applyAlignment="1">
      <alignment horizontal="right" vertical="center"/>
    </xf>
    <xf numFmtId="207" fontId="0" fillId="0" borderId="20" xfId="24" applyNumberFormat="1" applyBorder="1" applyAlignment="1">
      <alignment vertical="center"/>
    </xf>
    <xf numFmtId="213" fontId="0" fillId="0" borderId="21" xfId="24" applyNumberFormat="1" applyBorder="1" applyAlignment="1">
      <alignment vertical="center"/>
    </xf>
    <xf numFmtId="213" fontId="0" fillId="0" borderId="17" xfId="24" applyNumberFormat="1" applyBorder="1" applyAlignment="1">
      <alignment vertical="center"/>
    </xf>
    <xf numFmtId="0" fontId="0" fillId="0" borderId="16" xfId="0" applyBorder="1" applyAlignment="1">
      <alignment horizontal="right" vertical="center"/>
    </xf>
    <xf numFmtId="204" fontId="0" fillId="0" borderId="15" xfId="24" applyNumberFormat="1" applyBorder="1" applyAlignment="1">
      <alignment vertical="center"/>
    </xf>
    <xf numFmtId="204" fontId="0" fillId="0" borderId="70" xfId="0" applyNumberFormat="1" applyBorder="1" applyAlignment="1">
      <alignment vertical="center"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6" xfId="24" applyNumberFormat="1" applyBorder="1" applyAlignment="1">
      <alignment vertical="center"/>
    </xf>
    <xf numFmtId="203" fontId="0" fillId="0" borderId="28" xfId="0" applyNumberFormat="1" applyBorder="1" applyAlignment="1">
      <alignment vertical="center"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6" xfId="0" applyNumberFormat="1" applyBorder="1" applyAlignment="1" quotePrefix="1">
      <alignment horizontal="center" vertical="center"/>
    </xf>
    <xf numFmtId="0" fontId="0" fillId="0" borderId="76" xfId="0" applyBorder="1" applyAlignment="1" quotePrefix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8" xfId="0" applyBorder="1" applyAlignment="1" quotePrefix="1">
      <alignment horizontal="center" vertical="center"/>
    </xf>
    <xf numFmtId="0" fontId="0" fillId="0" borderId="79" xfId="0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0" fillId="0" borderId="71" xfId="0" applyBorder="1" applyAlignment="1" quotePrefix="1">
      <alignment horizontal="center" vertical="center"/>
    </xf>
    <xf numFmtId="0" fontId="0" fillId="0" borderId="66" xfId="0" applyFont="1" applyBorder="1" applyAlignment="1">
      <alignment horizontal="center" vertical="center"/>
    </xf>
    <xf numFmtId="3" fontId="18" fillId="0" borderId="80" xfId="0" applyNumberFormat="1" applyFont="1" applyBorder="1" applyAlignment="1">
      <alignment horizontal="center" vertical="center"/>
    </xf>
    <xf numFmtId="3" fontId="18" fillId="0" borderId="81" xfId="0" applyNumberFormat="1" applyFont="1" applyBorder="1" applyAlignment="1">
      <alignment horizontal="center" vertical="center"/>
    </xf>
    <xf numFmtId="3" fontId="18" fillId="0" borderId="66" xfId="0" applyNumberFormat="1" applyFont="1" applyBorder="1" applyAlignment="1">
      <alignment horizontal="center" vertical="center"/>
    </xf>
    <xf numFmtId="3" fontId="18" fillId="0" borderId="82" xfId="0" applyNumberFormat="1" applyFont="1" applyBorder="1" applyAlignment="1">
      <alignment horizontal="center" vertical="center"/>
    </xf>
    <xf numFmtId="3" fontId="18" fillId="0" borderId="54" xfId="0" applyNumberFormat="1" applyFont="1" applyBorder="1" applyAlignment="1">
      <alignment horizontal="center" vertical="center"/>
    </xf>
    <xf numFmtId="3" fontId="18" fillId="0" borderId="54" xfId="24" applyNumberFormat="1" applyFont="1" applyBorder="1" applyAlignment="1">
      <alignment horizontal="center" vertical="center"/>
    </xf>
    <xf numFmtId="3" fontId="18" fillId="0" borderId="83" xfId="0" applyNumberFormat="1" applyFont="1" applyBorder="1" applyAlignment="1">
      <alignment horizontal="center" vertical="center"/>
    </xf>
    <xf numFmtId="3" fontId="18" fillId="0" borderId="3" xfId="24" applyNumberFormat="1" applyFont="1" applyBorder="1" applyAlignment="1">
      <alignment horizontal="center" vertical="center"/>
    </xf>
    <xf numFmtId="3" fontId="18" fillId="0" borderId="84" xfId="0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 shrinkToFit="1"/>
    </xf>
    <xf numFmtId="3" fontId="18" fillId="0" borderId="11" xfId="0" applyNumberFormat="1" applyFont="1" applyBorder="1" applyAlignment="1">
      <alignment horizontal="center" vertical="center" shrinkToFit="1"/>
    </xf>
    <xf numFmtId="3" fontId="18" fillId="0" borderId="7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76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 quotePrefix="1">
      <alignment horizontal="center" vertical="center"/>
    </xf>
    <xf numFmtId="207" fontId="0" fillId="0" borderId="21" xfId="24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213" fontId="0" fillId="0" borderId="21" xfId="27" applyNumberFormat="1" applyFont="1" applyFill="1" applyBorder="1" applyAlignment="1">
      <alignment vertical="center"/>
      <protection/>
    </xf>
    <xf numFmtId="3" fontId="0" fillId="0" borderId="18" xfId="0" applyNumberFormat="1" applyBorder="1" applyAlignment="1">
      <alignment/>
    </xf>
    <xf numFmtId="205" fontId="0" fillId="0" borderId="2" xfId="0" applyNumberFormat="1" applyBorder="1" applyAlignment="1">
      <alignment vertical="center"/>
    </xf>
    <xf numFmtId="205" fontId="0" fillId="0" borderId="0" xfId="24" applyNumberFormat="1" applyBorder="1" applyAlignment="1">
      <alignment vertical="center"/>
    </xf>
    <xf numFmtId="205" fontId="0" fillId="0" borderId="14" xfId="24" applyNumberFormat="1" applyBorder="1" applyAlignment="1">
      <alignment vertical="center"/>
    </xf>
    <xf numFmtId="207" fontId="0" fillId="0" borderId="2" xfId="24" applyNumberFormat="1" applyBorder="1" applyAlignment="1">
      <alignment vertical="center"/>
    </xf>
    <xf numFmtId="207" fontId="0" fillId="0" borderId="14" xfId="24" applyNumberFormat="1" applyBorder="1" applyAlignment="1">
      <alignment vertical="center"/>
    </xf>
    <xf numFmtId="207" fontId="0" fillId="0" borderId="20" xfId="27" applyNumberFormat="1" applyFont="1" applyFill="1" applyBorder="1" applyAlignment="1">
      <alignment vertical="center"/>
      <protection/>
    </xf>
    <xf numFmtId="207" fontId="0" fillId="0" borderId="23" xfId="27" applyNumberFormat="1" applyFont="1" applyFill="1" applyBorder="1" applyAlignment="1">
      <alignment vertical="center"/>
      <protection/>
    </xf>
    <xf numFmtId="207" fontId="0" fillId="0" borderId="12" xfId="0" applyNumberFormat="1" applyFont="1" applyBorder="1" applyAlignment="1">
      <alignment/>
    </xf>
    <xf numFmtId="207" fontId="0" fillId="0" borderId="23" xfId="0" applyNumberFormat="1" applyFont="1" applyBorder="1" applyAlignment="1">
      <alignment/>
    </xf>
    <xf numFmtId="207" fontId="0" fillId="0" borderId="25" xfId="0" applyNumberFormat="1" applyFont="1" applyBorder="1" applyAlignment="1">
      <alignment/>
    </xf>
    <xf numFmtId="207" fontId="0" fillId="0" borderId="2" xfId="27" applyNumberFormat="1" applyFont="1" applyFill="1" applyBorder="1" applyAlignment="1">
      <alignment vertical="center"/>
      <protection/>
    </xf>
    <xf numFmtId="207" fontId="0" fillId="0" borderId="19" xfId="0" applyNumberFormat="1" applyBorder="1" applyAlignment="1">
      <alignment vertical="center"/>
    </xf>
    <xf numFmtId="3" fontId="0" fillId="0" borderId="14" xfId="24" applyNumberFormat="1" applyFont="1" applyBorder="1" applyAlignment="1">
      <alignment vertical="center"/>
    </xf>
    <xf numFmtId="207" fontId="0" fillId="0" borderId="14" xfId="27" applyNumberFormat="1" applyFont="1" applyFill="1" applyBorder="1" applyAlignment="1">
      <alignment vertical="center"/>
      <protection/>
    </xf>
    <xf numFmtId="3" fontId="0" fillId="0" borderId="18" xfId="0" applyNumberFormat="1" applyBorder="1" applyAlignment="1">
      <alignment horizontal="right" vertical="center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204" fontId="0" fillId="0" borderId="18" xfId="0" applyNumberFormat="1" applyBorder="1" applyAlignment="1">
      <alignment/>
    </xf>
    <xf numFmtId="0" fontId="0" fillId="0" borderId="8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7" fillId="0" borderId="0" xfId="0" applyFont="1" applyAlignment="1" quotePrefix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9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63" xfId="0" applyNumberFormat="1" applyFont="1" applyFill="1" applyBorder="1" applyAlignment="1">
      <alignment horizontal="center" vertical="center"/>
    </xf>
    <xf numFmtId="3" fontId="0" fillId="0" borderId="66" xfId="0" applyNumberFormat="1" applyFont="1" applyFill="1" applyBorder="1" applyAlignment="1">
      <alignment horizontal="center" vertical="center"/>
    </xf>
    <xf numFmtId="3" fontId="0" fillId="0" borderId="54" xfId="0" applyNumberFormat="1" applyFont="1" applyFill="1" applyBorder="1" applyAlignment="1">
      <alignment horizontal="center" vertical="center"/>
    </xf>
    <xf numFmtId="0" fontId="15" fillId="0" borderId="0" xfId="0" applyFont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3" fontId="0" fillId="0" borderId="59" xfId="0" applyNumberFormat="1" applyFont="1" applyBorder="1" applyAlignment="1">
      <alignment horizontal="center" vertical="center"/>
    </xf>
    <xf numFmtId="3" fontId="0" fillId="0" borderId="62" xfId="0" applyNumberFormat="1" applyFont="1" applyBorder="1" applyAlignment="1">
      <alignment horizontal="center" vertical="center"/>
    </xf>
    <xf numFmtId="3" fontId="0" fillId="0" borderId="63" xfId="0" applyNumberFormat="1" applyFont="1" applyBorder="1" applyAlignment="1">
      <alignment horizontal="center" vertical="center"/>
    </xf>
    <xf numFmtId="3" fontId="0" fillId="0" borderId="99" xfId="0" applyNumberFormat="1" applyFont="1" applyBorder="1" applyAlignment="1">
      <alignment horizontal="center" vertical="center"/>
    </xf>
    <xf numFmtId="3" fontId="0" fillId="0" borderId="100" xfId="0" applyNumberFormat="1" applyFont="1" applyBorder="1" applyAlignment="1">
      <alignment horizontal="center" vertical="center"/>
    </xf>
    <xf numFmtId="3" fontId="0" fillId="0" borderId="101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3" fontId="0" fillId="0" borderId="82" xfId="0" applyNumberFormat="1" applyFont="1" applyFill="1" applyBorder="1" applyAlignment="1">
      <alignment horizontal="center" vertical="center"/>
    </xf>
    <xf numFmtId="3" fontId="0" fillId="0" borderId="83" xfId="0" applyNumberFormat="1" applyFont="1" applyFill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0" fillId="0" borderId="66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/>
    </xf>
    <xf numFmtId="3" fontId="0" fillId="0" borderId="102" xfId="0" applyNumberFormat="1" applyFont="1" applyBorder="1" applyAlignment="1">
      <alignment horizontal="center" vertical="center"/>
    </xf>
    <xf numFmtId="3" fontId="0" fillId="0" borderId="103" xfId="0" applyNumberFormat="1" applyFont="1" applyBorder="1" applyAlignment="1">
      <alignment horizontal="center" vertical="center" wrapText="1"/>
    </xf>
    <xf numFmtId="176" fontId="0" fillId="0" borderId="66" xfId="0" applyNumberFormat="1" applyBorder="1" applyAlignment="1">
      <alignment horizontal="center" vertical="center" wrapText="1"/>
    </xf>
    <xf numFmtId="176" fontId="0" fillId="0" borderId="84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50" xfId="0" applyNumberFormat="1" applyFont="1" applyFill="1" applyBorder="1" applyAlignment="1">
      <alignment horizontal="center" vertical="center"/>
    </xf>
    <xf numFmtId="0" fontId="19" fillId="0" borderId="0" xfId="0" applyFont="1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32">
    <cellStyle name="Normal" xfId="0"/>
    <cellStyle name="뒤에 오는 하이퍼링크_용어 및 단위해설" xfId="16"/>
    <cellStyle name="똿뗦먛귟 [0.00]_PRODUCT DETAIL Q1" xfId="17"/>
    <cellStyle name="똿뗦먛귟_PRODUCT DETAIL Q1" xfId="18"/>
    <cellStyle name="믅됞 [0.00]_PRODUCT DETAIL Q1" xfId="19"/>
    <cellStyle name="믅됞_PRODUCT DETAIL Q1" xfId="20"/>
    <cellStyle name="Percent" xfId="21"/>
    <cellStyle name="뷭?_BOOKSHIP" xfId="22"/>
    <cellStyle name="Comma" xfId="23"/>
    <cellStyle name="Comma [0]" xfId="24"/>
    <cellStyle name="Followed Hyperlink" xfId="25"/>
    <cellStyle name="콤마 [0]_1202" xfId="26"/>
    <cellStyle name="콤마 [0]_97운영" xfId="27"/>
    <cellStyle name="콤마_1202" xfId="28"/>
    <cellStyle name="Currency" xfId="29"/>
    <cellStyle name="Currency [0]" xfId="30"/>
    <cellStyle name="Hyperlink" xfId="31"/>
    <cellStyle name="AeE­ [0]_PERSONAL" xfId="32"/>
    <cellStyle name="AeE­_PERSONAL" xfId="33"/>
    <cellStyle name="ALIGNMENT" xfId="34"/>
    <cellStyle name="C￥AØ_PERSONAL" xfId="35"/>
    <cellStyle name="Comma [0]_ SG&amp;A Bridge " xfId="36"/>
    <cellStyle name="Comma_ SG&amp;A Bridge " xfId="37"/>
    <cellStyle name="Currency [0]_ SG&amp;A Bridge " xfId="38"/>
    <cellStyle name="Currency_ SG&amp;A Bridge " xfId="39"/>
    <cellStyle name="Grey" xfId="40"/>
    <cellStyle name="Header1" xfId="41"/>
    <cellStyle name="Header2" xfId="42"/>
    <cellStyle name="Input [yellow]" xfId="43"/>
    <cellStyle name="Normal - Style1" xfId="44"/>
    <cellStyle name="Normal_ SG&amp;A Bridge " xfId="45"/>
    <cellStyle name="Percent [2]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6</xdr:row>
      <xdr:rowOff>85725</xdr:rowOff>
    </xdr:from>
    <xdr:to>
      <xdr:col>9</xdr:col>
      <xdr:colOff>571500</xdr:colOff>
      <xdr:row>6</xdr:row>
      <xdr:rowOff>85725</xdr:rowOff>
    </xdr:to>
    <xdr:sp>
      <xdr:nvSpPr>
        <xdr:cNvPr id="1" name="Line 1"/>
        <xdr:cNvSpPr>
          <a:spLocks/>
        </xdr:cNvSpPr>
      </xdr:nvSpPr>
      <xdr:spPr>
        <a:xfrm>
          <a:off x="1666875" y="1390650"/>
          <a:ext cx="57626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485775</xdr:colOff>
      <xdr:row>58</xdr:row>
      <xdr:rowOff>85725</xdr:rowOff>
    </xdr:from>
    <xdr:to>
      <xdr:col>8</xdr:col>
      <xdr:colOff>381000</xdr:colOff>
      <xdr:row>60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71775" y="12544425"/>
          <a:ext cx="37052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 Ⅱ. 소각시설별 운영현황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L138"/>
  <sheetViews>
    <sheetView zoomScale="75" zoomScaleNormal="75" workbookViewId="0" topLeftCell="A54">
      <selection activeCell="B40" sqref="B40"/>
    </sheetView>
  </sheetViews>
  <sheetFormatPr defaultColWidth="8.88671875" defaultRowHeight="13.5"/>
  <cols>
    <col min="12" max="12" width="11.4453125" style="0" customWidth="1"/>
  </cols>
  <sheetData>
    <row r="6" spans="1:12" ht="35.25">
      <c r="A6" s="703" t="s">
        <v>408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</row>
    <row r="9" ht="13.5">
      <c r="A9" s="617"/>
    </row>
    <row r="10" ht="13.5">
      <c r="A10" s="617"/>
    </row>
    <row r="11" ht="13.5">
      <c r="A11" s="617"/>
    </row>
    <row r="12" ht="13.5">
      <c r="A12" s="617"/>
    </row>
    <row r="13" ht="13.5">
      <c r="A13" s="617"/>
    </row>
    <row r="14" ht="13.5">
      <c r="A14" s="617"/>
    </row>
    <row r="15" ht="13.5">
      <c r="A15" s="617"/>
    </row>
    <row r="16" spans="1:12" ht="33.75">
      <c r="A16" s="704" t="s">
        <v>410</v>
      </c>
      <c r="B16" s="704"/>
      <c r="C16" s="704"/>
      <c r="D16" s="704"/>
      <c r="E16" s="704"/>
      <c r="F16" s="704"/>
      <c r="G16" s="704"/>
      <c r="H16" s="704"/>
      <c r="I16" s="704"/>
      <c r="J16" s="704"/>
      <c r="K16" s="704"/>
      <c r="L16" s="704"/>
    </row>
    <row r="17" spans="1:12" ht="13.5" customHeight="1">
      <c r="A17" s="618"/>
      <c r="B17" s="618"/>
      <c r="C17" s="618"/>
      <c r="D17" s="618"/>
      <c r="E17" s="618"/>
      <c r="F17" s="618"/>
      <c r="G17" s="618"/>
      <c r="H17" s="618"/>
      <c r="I17" s="618"/>
      <c r="J17" s="618"/>
      <c r="K17" s="618"/>
      <c r="L17" s="618"/>
    </row>
    <row r="18" spans="1:12" ht="13.5" customHeight="1">
      <c r="A18" s="618"/>
      <c r="B18" s="618"/>
      <c r="C18" s="618"/>
      <c r="D18" s="618"/>
      <c r="E18" s="618"/>
      <c r="F18" s="618"/>
      <c r="G18" s="618"/>
      <c r="H18" s="618"/>
      <c r="I18" s="618"/>
      <c r="J18" s="618"/>
      <c r="K18" s="618"/>
      <c r="L18" s="618"/>
    </row>
    <row r="19" ht="13.5" customHeight="1">
      <c r="A19" s="617"/>
    </row>
    <row r="20" ht="13.5">
      <c r="A20" s="617"/>
    </row>
    <row r="21" ht="13.5">
      <c r="A21" s="617"/>
    </row>
    <row r="22" ht="13.5">
      <c r="A22" s="617"/>
    </row>
    <row r="23" ht="13.5">
      <c r="A23" s="617"/>
    </row>
    <row r="24" ht="13.5">
      <c r="A24" s="617"/>
    </row>
    <row r="25" ht="13.5">
      <c r="A25" s="617"/>
    </row>
    <row r="26" spans="1:12" ht="32.25">
      <c r="A26" s="705" t="s">
        <v>409</v>
      </c>
      <c r="B26" s="705"/>
      <c r="C26" s="705"/>
      <c r="D26" s="705"/>
      <c r="E26" s="705"/>
      <c r="F26" s="705"/>
      <c r="G26" s="705"/>
      <c r="H26" s="705"/>
      <c r="I26" s="705"/>
      <c r="J26" s="705"/>
      <c r="K26" s="705"/>
      <c r="L26" s="705"/>
    </row>
    <row r="27" ht="13.5">
      <c r="A27" s="617"/>
    </row>
    <row r="28" spans="1:12" ht="24">
      <c r="A28" s="706" t="s">
        <v>254</v>
      </c>
      <c r="B28" s="706"/>
      <c r="C28" s="706"/>
      <c r="D28" s="706"/>
      <c r="E28" s="706"/>
      <c r="F28" s="706"/>
      <c r="G28" s="706"/>
      <c r="H28" s="706"/>
      <c r="I28" s="706"/>
      <c r="J28" s="706"/>
      <c r="K28" s="706"/>
      <c r="L28" s="706"/>
    </row>
    <row r="29" ht="13.5">
      <c r="A29" s="616"/>
    </row>
    <row r="30" spans="1:12" ht="27">
      <c r="A30" s="708" t="s">
        <v>373</v>
      </c>
      <c r="B30" s="708"/>
      <c r="C30" s="708"/>
      <c r="D30" s="708"/>
      <c r="E30" s="708"/>
      <c r="F30" s="708"/>
      <c r="G30" s="708"/>
      <c r="H30" s="708"/>
      <c r="I30" s="708"/>
      <c r="J30" s="708"/>
      <c r="K30" s="708"/>
      <c r="L30" s="708"/>
    </row>
    <row r="31" ht="25.5" customHeight="1"/>
    <row r="32" ht="20.25">
      <c r="A32" s="651" t="s">
        <v>383</v>
      </c>
    </row>
    <row r="33" ht="13.5" customHeight="1">
      <c r="A33" s="651"/>
    </row>
    <row r="34" ht="20.25">
      <c r="A34" s="651" t="s">
        <v>384</v>
      </c>
    </row>
    <row r="35" ht="13.5" customHeight="1">
      <c r="A35" s="619"/>
    </row>
    <row r="36" ht="20.25">
      <c r="A36" s="651" t="s">
        <v>374</v>
      </c>
    </row>
    <row r="37" ht="20.25">
      <c r="A37" s="651" t="s">
        <v>375</v>
      </c>
    </row>
    <row r="38" ht="20.25">
      <c r="A38" s="651" t="s">
        <v>376</v>
      </c>
    </row>
    <row r="39" ht="20.25">
      <c r="A39" s="651" t="s">
        <v>377</v>
      </c>
    </row>
    <row r="40" ht="20.25">
      <c r="A40" s="651" t="s">
        <v>378</v>
      </c>
    </row>
    <row r="41" ht="20.25">
      <c r="A41" s="651" t="s">
        <v>379</v>
      </c>
    </row>
    <row r="42" ht="20.25">
      <c r="A42" s="651" t="s">
        <v>380</v>
      </c>
    </row>
    <row r="43" ht="20.25">
      <c r="A43" s="651" t="s">
        <v>381</v>
      </c>
    </row>
    <row r="44" ht="20.25">
      <c r="A44" s="651" t="s">
        <v>382</v>
      </c>
    </row>
    <row r="46" ht="20.25">
      <c r="A46" s="651" t="s">
        <v>385</v>
      </c>
    </row>
    <row r="47" ht="13.5" customHeight="1">
      <c r="A47" s="651"/>
    </row>
    <row r="48" ht="20.25">
      <c r="A48" s="651" t="s">
        <v>386</v>
      </c>
    </row>
    <row r="49" ht="20.25">
      <c r="A49" s="652"/>
    </row>
    <row r="50" ht="20.25">
      <c r="A50" s="651" t="s">
        <v>387</v>
      </c>
    </row>
    <row r="56" ht="13.5" customHeight="1">
      <c r="A56" s="619"/>
    </row>
    <row r="102" spans="1:12" ht="25.5">
      <c r="A102" s="707" t="s">
        <v>388</v>
      </c>
      <c r="B102" s="707"/>
      <c r="C102" s="707"/>
      <c r="D102" s="707"/>
      <c r="E102" s="707"/>
      <c r="F102" s="707"/>
      <c r="G102" s="707"/>
      <c r="H102" s="707"/>
      <c r="I102" s="707"/>
      <c r="J102" s="707"/>
      <c r="K102" s="707"/>
      <c r="L102" s="707"/>
    </row>
    <row r="134" spans="1:12" ht="29.25" customHeight="1">
      <c r="A134" s="707" t="s">
        <v>389</v>
      </c>
      <c r="B134" s="707"/>
      <c r="C134" s="707"/>
      <c r="D134" s="707"/>
      <c r="E134" s="707"/>
      <c r="F134" s="707"/>
      <c r="G134" s="707"/>
      <c r="H134" s="707"/>
      <c r="I134" s="707"/>
      <c r="J134" s="707"/>
      <c r="K134" s="707"/>
      <c r="L134" s="707"/>
    </row>
    <row r="135" ht="14.25" customHeight="1"/>
    <row r="136" ht="9" customHeight="1"/>
    <row r="137" ht="27.75" customHeight="1"/>
    <row r="138" spans="1:12" ht="14.25" customHeight="1">
      <c r="A138" s="707"/>
      <c r="B138" s="707"/>
      <c r="C138" s="707"/>
      <c r="D138" s="707"/>
      <c r="E138" s="707"/>
      <c r="F138" s="707"/>
      <c r="G138" s="707"/>
      <c r="H138" s="707"/>
      <c r="I138" s="707"/>
      <c r="J138" s="707"/>
      <c r="K138" s="707"/>
      <c r="L138" s="707"/>
    </row>
    <row r="139" ht="14.25" customHeight="1"/>
  </sheetData>
  <mergeCells count="8">
    <mergeCell ref="A138:L138"/>
    <mergeCell ref="A30:L30"/>
    <mergeCell ref="A102:L102"/>
    <mergeCell ref="A134:L134"/>
    <mergeCell ref="A6:L6"/>
    <mergeCell ref="A16:L16"/>
    <mergeCell ref="A26:L26"/>
    <mergeCell ref="A28:L28"/>
  </mergeCells>
  <printOptions/>
  <pageMargins left="0.75" right="0.61" top="0.83" bottom="0.8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0">
      <selection activeCell="B21" sqref="B21"/>
    </sheetView>
  </sheetViews>
  <sheetFormatPr defaultColWidth="8.88671875" defaultRowHeight="13.5"/>
  <cols>
    <col min="1" max="1" width="9.4453125" style="0" customWidth="1"/>
    <col min="2" max="2" width="29.10546875" style="0" customWidth="1"/>
    <col min="3" max="3" width="5.99609375" style="0" customWidth="1"/>
    <col min="4" max="4" width="4.99609375" style="0" customWidth="1"/>
    <col min="5" max="5" width="15.21484375" style="0" customWidth="1"/>
    <col min="6" max="6" width="10.6640625" style="0" customWidth="1"/>
    <col min="7" max="7" width="14.77734375" style="0" customWidth="1"/>
    <col min="8" max="8" width="12.4453125" style="0" customWidth="1"/>
    <col min="9" max="9" width="13.21484375" style="0" customWidth="1"/>
  </cols>
  <sheetData>
    <row r="1" spans="1:9" ht="22.5">
      <c r="A1" s="709" t="s">
        <v>402</v>
      </c>
      <c r="B1" s="709"/>
      <c r="C1" s="709"/>
      <c r="D1" s="709"/>
      <c r="E1" s="709"/>
      <c r="F1" s="709"/>
      <c r="G1" s="709"/>
      <c r="H1" s="709"/>
      <c r="I1" s="709"/>
    </row>
    <row r="2" ht="19.5" customHeight="1"/>
    <row r="3" spans="1:9" ht="26.25" customHeight="1">
      <c r="A3" s="715" t="s">
        <v>255</v>
      </c>
      <c r="B3" s="712" t="s">
        <v>256</v>
      </c>
      <c r="C3" s="712" t="s">
        <v>257</v>
      </c>
      <c r="D3" s="712"/>
      <c r="E3" s="712" t="s">
        <v>258</v>
      </c>
      <c r="F3" s="710" t="s">
        <v>259</v>
      </c>
      <c r="G3" s="712" t="s">
        <v>260</v>
      </c>
      <c r="H3" s="712" t="s">
        <v>261</v>
      </c>
      <c r="I3" s="713" t="s">
        <v>262</v>
      </c>
    </row>
    <row r="4" spans="1:9" ht="18" customHeight="1">
      <c r="A4" s="716"/>
      <c r="B4" s="711"/>
      <c r="C4" s="620" t="s">
        <v>263</v>
      </c>
      <c r="D4" s="620" t="s">
        <v>264</v>
      </c>
      <c r="E4" s="711"/>
      <c r="F4" s="711"/>
      <c r="G4" s="711"/>
      <c r="H4" s="711"/>
      <c r="I4" s="714"/>
    </row>
    <row r="5" spans="1:9" ht="19.5" customHeight="1">
      <c r="A5" s="622" t="s">
        <v>265</v>
      </c>
      <c r="B5" s="653" t="s">
        <v>404</v>
      </c>
      <c r="C5" s="625">
        <v>200</v>
      </c>
      <c r="D5" s="625">
        <v>2</v>
      </c>
      <c r="E5" s="626" t="s">
        <v>266</v>
      </c>
      <c r="F5" s="627" t="s">
        <v>267</v>
      </c>
      <c r="G5" s="625" t="s">
        <v>268</v>
      </c>
      <c r="H5" s="625" t="s">
        <v>269</v>
      </c>
      <c r="I5" s="628" t="s">
        <v>269</v>
      </c>
    </row>
    <row r="6" spans="1:9" ht="19.5" customHeight="1">
      <c r="A6" s="623" t="s">
        <v>270</v>
      </c>
      <c r="B6" s="654" t="s">
        <v>405</v>
      </c>
      <c r="C6" s="629">
        <v>400</v>
      </c>
      <c r="D6" s="629">
        <v>2</v>
      </c>
      <c r="E6" s="630" t="s">
        <v>271</v>
      </c>
      <c r="F6" s="630" t="s">
        <v>272</v>
      </c>
      <c r="G6" s="629" t="s">
        <v>268</v>
      </c>
      <c r="H6" s="629" t="s">
        <v>273</v>
      </c>
      <c r="I6" s="631" t="s">
        <v>274</v>
      </c>
    </row>
    <row r="7" spans="1:9" ht="19.5" customHeight="1">
      <c r="A7" s="623" t="s">
        <v>275</v>
      </c>
      <c r="B7" s="654" t="s">
        <v>276</v>
      </c>
      <c r="C7" s="629">
        <v>200</v>
      </c>
      <c r="D7" s="629">
        <v>2</v>
      </c>
      <c r="E7" s="630" t="s">
        <v>277</v>
      </c>
      <c r="F7" s="630" t="s">
        <v>278</v>
      </c>
      <c r="G7" s="629" t="s">
        <v>279</v>
      </c>
      <c r="H7" s="629" t="s">
        <v>280</v>
      </c>
      <c r="I7" s="631" t="s">
        <v>281</v>
      </c>
    </row>
    <row r="8" spans="1:9" ht="19.5" customHeight="1">
      <c r="A8" s="623" t="s">
        <v>282</v>
      </c>
      <c r="B8" s="654" t="s">
        <v>283</v>
      </c>
      <c r="C8" s="629">
        <v>200</v>
      </c>
      <c r="D8" s="629">
        <v>1</v>
      </c>
      <c r="E8" s="630" t="s">
        <v>284</v>
      </c>
      <c r="F8" s="630" t="s">
        <v>285</v>
      </c>
      <c r="G8" s="629" t="s">
        <v>279</v>
      </c>
      <c r="H8" s="629" t="s">
        <v>286</v>
      </c>
      <c r="I8" s="631" t="s">
        <v>287</v>
      </c>
    </row>
    <row r="9" spans="1:9" ht="19.5" customHeight="1">
      <c r="A9" s="623" t="s">
        <v>288</v>
      </c>
      <c r="B9" s="654" t="s">
        <v>289</v>
      </c>
      <c r="C9" s="629">
        <v>200</v>
      </c>
      <c r="D9" s="629">
        <v>3</v>
      </c>
      <c r="E9" s="630" t="s">
        <v>290</v>
      </c>
      <c r="F9" s="630" t="s">
        <v>291</v>
      </c>
      <c r="G9" s="629" t="s">
        <v>292</v>
      </c>
      <c r="H9" s="629" t="s">
        <v>293</v>
      </c>
      <c r="I9" s="631" t="s">
        <v>287</v>
      </c>
    </row>
    <row r="10" spans="1:9" ht="19.5" customHeight="1">
      <c r="A10" s="623" t="s">
        <v>294</v>
      </c>
      <c r="B10" s="654" t="s">
        <v>295</v>
      </c>
      <c r="C10" s="629">
        <v>200</v>
      </c>
      <c r="D10" s="629">
        <v>1</v>
      </c>
      <c r="E10" s="630" t="s">
        <v>296</v>
      </c>
      <c r="F10" s="630" t="s">
        <v>297</v>
      </c>
      <c r="G10" s="629" t="s">
        <v>298</v>
      </c>
      <c r="H10" s="629" t="s">
        <v>299</v>
      </c>
      <c r="I10" s="632" t="s">
        <v>300</v>
      </c>
    </row>
    <row r="11" spans="1:9" ht="19.5" customHeight="1">
      <c r="A11" s="623" t="s">
        <v>301</v>
      </c>
      <c r="B11" s="654" t="s">
        <v>302</v>
      </c>
      <c r="C11" s="629">
        <v>200</v>
      </c>
      <c r="D11" s="629">
        <v>1</v>
      </c>
      <c r="E11" s="630" t="s">
        <v>303</v>
      </c>
      <c r="F11" s="630" t="s">
        <v>304</v>
      </c>
      <c r="G11" s="629" t="s">
        <v>305</v>
      </c>
      <c r="H11" s="629" t="s">
        <v>306</v>
      </c>
      <c r="I11" s="631" t="s">
        <v>306</v>
      </c>
    </row>
    <row r="12" spans="1:9" ht="19.5" customHeight="1">
      <c r="A12" s="623" t="s">
        <v>307</v>
      </c>
      <c r="B12" s="654" t="s">
        <v>308</v>
      </c>
      <c r="C12" s="629">
        <v>200</v>
      </c>
      <c r="D12" s="629">
        <v>1</v>
      </c>
      <c r="E12" s="630" t="s">
        <v>309</v>
      </c>
      <c r="F12" s="630" t="s">
        <v>310</v>
      </c>
      <c r="G12" s="629" t="s">
        <v>311</v>
      </c>
      <c r="H12" s="629" t="s">
        <v>293</v>
      </c>
      <c r="I12" s="631" t="s">
        <v>406</v>
      </c>
    </row>
    <row r="13" spans="1:9" ht="19.5" customHeight="1">
      <c r="A13" s="623" t="s">
        <v>312</v>
      </c>
      <c r="B13" s="654" t="s">
        <v>313</v>
      </c>
      <c r="C13" s="629">
        <v>300</v>
      </c>
      <c r="D13" s="629">
        <v>2</v>
      </c>
      <c r="E13" s="630" t="s">
        <v>403</v>
      </c>
      <c r="F13" s="630" t="s">
        <v>314</v>
      </c>
      <c r="G13" s="629" t="s">
        <v>315</v>
      </c>
      <c r="H13" s="629" t="s">
        <v>273</v>
      </c>
      <c r="I13" s="631" t="s">
        <v>273</v>
      </c>
    </row>
    <row r="14" spans="1:9" ht="19.5" customHeight="1">
      <c r="A14" s="623" t="s">
        <v>316</v>
      </c>
      <c r="B14" s="654" t="s">
        <v>317</v>
      </c>
      <c r="C14" s="629">
        <v>300</v>
      </c>
      <c r="D14" s="629">
        <v>1</v>
      </c>
      <c r="E14" s="630" t="s">
        <v>318</v>
      </c>
      <c r="F14" s="630" t="s">
        <v>319</v>
      </c>
      <c r="G14" s="629" t="s">
        <v>305</v>
      </c>
      <c r="H14" s="629" t="s">
        <v>320</v>
      </c>
      <c r="I14" s="631" t="s">
        <v>281</v>
      </c>
    </row>
    <row r="15" spans="1:9" ht="19.5" customHeight="1">
      <c r="A15" s="623" t="s">
        <v>321</v>
      </c>
      <c r="B15" s="654" t="s">
        <v>420</v>
      </c>
      <c r="C15" s="629">
        <v>150</v>
      </c>
      <c r="D15" s="629">
        <v>2</v>
      </c>
      <c r="E15" s="630" t="s">
        <v>322</v>
      </c>
      <c r="F15" s="630" t="s">
        <v>323</v>
      </c>
      <c r="G15" s="629" t="s">
        <v>324</v>
      </c>
      <c r="H15" s="629" t="s">
        <v>306</v>
      </c>
      <c r="I15" s="631" t="s">
        <v>306</v>
      </c>
    </row>
    <row r="16" spans="1:9" ht="19.5" customHeight="1">
      <c r="A16" s="623" t="s">
        <v>325</v>
      </c>
      <c r="B16" s="654" t="s">
        <v>326</v>
      </c>
      <c r="C16" s="629">
        <v>100</v>
      </c>
      <c r="D16" s="629">
        <v>1</v>
      </c>
      <c r="E16" s="630" t="s">
        <v>327</v>
      </c>
      <c r="F16" s="630" t="s">
        <v>328</v>
      </c>
      <c r="G16" s="629" t="s">
        <v>329</v>
      </c>
      <c r="H16" s="629" t="s">
        <v>330</v>
      </c>
      <c r="I16" s="631" t="s">
        <v>330</v>
      </c>
    </row>
    <row r="17" spans="1:9" ht="19.5" customHeight="1">
      <c r="A17" s="623" t="s">
        <v>331</v>
      </c>
      <c r="B17" s="654" t="s">
        <v>332</v>
      </c>
      <c r="C17" s="629">
        <v>80</v>
      </c>
      <c r="D17" s="629">
        <v>1</v>
      </c>
      <c r="E17" s="630" t="s">
        <v>333</v>
      </c>
      <c r="F17" s="630" t="s">
        <v>334</v>
      </c>
      <c r="G17" s="629" t="s">
        <v>335</v>
      </c>
      <c r="H17" s="629" t="s">
        <v>336</v>
      </c>
      <c r="I17" s="631" t="s">
        <v>407</v>
      </c>
    </row>
    <row r="18" spans="1:9" ht="19.5" customHeight="1">
      <c r="A18" s="623" t="s">
        <v>337</v>
      </c>
      <c r="B18" s="654" t="s">
        <v>338</v>
      </c>
      <c r="C18" s="629">
        <v>200</v>
      </c>
      <c r="D18" s="629">
        <v>2</v>
      </c>
      <c r="E18" s="630" t="s">
        <v>339</v>
      </c>
      <c r="F18" s="630" t="s">
        <v>340</v>
      </c>
      <c r="G18" s="629" t="s">
        <v>341</v>
      </c>
      <c r="H18" s="629" t="s">
        <v>286</v>
      </c>
      <c r="I18" s="631" t="s">
        <v>342</v>
      </c>
    </row>
    <row r="19" spans="1:9" ht="19.5" customHeight="1">
      <c r="A19" s="623" t="s">
        <v>343</v>
      </c>
      <c r="B19" s="654" t="s">
        <v>344</v>
      </c>
      <c r="C19" s="629">
        <v>300</v>
      </c>
      <c r="D19" s="629">
        <v>2</v>
      </c>
      <c r="E19" s="630" t="s">
        <v>345</v>
      </c>
      <c r="F19" s="630" t="s">
        <v>346</v>
      </c>
      <c r="G19" s="629" t="s">
        <v>347</v>
      </c>
      <c r="H19" s="629" t="s">
        <v>348</v>
      </c>
      <c r="I19" s="631" t="s">
        <v>348</v>
      </c>
    </row>
    <row r="20" spans="1:9" ht="19.5" customHeight="1">
      <c r="A20" s="623" t="s">
        <v>349</v>
      </c>
      <c r="B20" s="654" t="s">
        <v>392</v>
      </c>
      <c r="C20" s="629">
        <v>200</v>
      </c>
      <c r="D20" s="629">
        <v>2</v>
      </c>
      <c r="E20" s="630" t="s">
        <v>393</v>
      </c>
      <c r="F20" s="630" t="s">
        <v>394</v>
      </c>
      <c r="G20" s="629" t="s">
        <v>395</v>
      </c>
      <c r="H20" s="629" t="s">
        <v>396</v>
      </c>
      <c r="I20" s="631" t="s">
        <v>396</v>
      </c>
    </row>
    <row r="21" spans="1:9" ht="19.5" customHeight="1">
      <c r="A21" s="656" t="s">
        <v>350</v>
      </c>
      <c r="B21" s="657" t="s">
        <v>351</v>
      </c>
      <c r="C21" s="658">
        <v>300</v>
      </c>
      <c r="D21" s="658">
        <v>1</v>
      </c>
      <c r="E21" s="660" t="s">
        <v>352</v>
      </c>
      <c r="F21" s="660" t="s">
        <v>353</v>
      </c>
      <c r="G21" s="658" t="s">
        <v>311</v>
      </c>
      <c r="H21" s="658" t="s">
        <v>354</v>
      </c>
      <c r="I21" s="659" t="s">
        <v>354</v>
      </c>
    </row>
    <row r="22" spans="1:9" ht="19.5" customHeight="1">
      <c r="A22" s="624" t="s">
        <v>391</v>
      </c>
      <c r="B22" s="655" t="s">
        <v>397</v>
      </c>
      <c r="C22" s="620">
        <v>200</v>
      </c>
      <c r="D22" s="620">
        <v>2</v>
      </c>
      <c r="E22" s="633" t="s">
        <v>398</v>
      </c>
      <c r="F22" s="620" t="s">
        <v>399</v>
      </c>
      <c r="G22" s="620" t="s">
        <v>400</v>
      </c>
      <c r="H22" s="620" t="s">
        <v>401</v>
      </c>
      <c r="I22" s="621" t="s">
        <v>401</v>
      </c>
    </row>
  </sheetData>
  <mergeCells count="9">
    <mergeCell ref="A1:I1"/>
    <mergeCell ref="F3:F4"/>
    <mergeCell ref="G3:G4"/>
    <mergeCell ref="H3:H4"/>
    <mergeCell ref="I3:I4"/>
    <mergeCell ref="A3:A4"/>
    <mergeCell ref="B3:B4"/>
    <mergeCell ref="C3:D3"/>
    <mergeCell ref="E3:E4"/>
  </mergeCells>
  <printOptions/>
  <pageMargins left="0.58" right="0.44" top="1" bottom="0.72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244"/>
  <sheetViews>
    <sheetView tabSelected="1" workbookViewId="0" topLeftCell="A1">
      <pane xSplit="4" ySplit="8" topLeftCell="F11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123" sqref="H123"/>
    </sheetView>
  </sheetViews>
  <sheetFormatPr defaultColWidth="8.88671875" defaultRowHeight="13.5"/>
  <cols>
    <col min="1" max="1" width="8.10546875" style="0" customWidth="1"/>
    <col min="2" max="2" width="7.88671875" style="1" customWidth="1"/>
    <col min="3" max="3" width="10.77734375" style="0" customWidth="1"/>
    <col min="4" max="5" width="10.77734375" style="100" customWidth="1"/>
    <col min="6" max="9" width="10.77734375" style="0" customWidth="1"/>
    <col min="10" max="11" width="11.6640625" style="0" customWidth="1"/>
    <col min="14" max="15" width="7.77734375" style="0" customWidth="1"/>
    <col min="16" max="16" width="6.77734375" style="0" customWidth="1"/>
    <col min="18" max="19" width="7.21484375" style="0" customWidth="1"/>
    <col min="24" max="24" width="5.4453125" style="0" customWidth="1"/>
    <col min="29" max="29" width="8.3359375" style="0" customWidth="1"/>
    <col min="30" max="30" width="7.99609375" style="0" customWidth="1"/>
    <col min="31" max="31" width="5.99609375" style="0" customWidth="1"/>
    <col min="32" max="32" width="6.6640625" style="0" customWidth="1"/>
    <col min="34" max="34" width="9.6640625" style="0" customWidth="1"/>
    <col min="35" max="35" width="7.88671875" style="0" customWidth="1"/>
    <col min="36" max="36" width="8.4453125" style="0" customWidth="1"/>
    <col min="37" max="37" width="4.99609375" style="0" customWidth="1"/>
    <col min="38" max="38" width="10.21484375" style="0" customWidth="1"/>
    <col min="40" max="40" width="11.5546875" style="0" customWidth="1"/>
    <col min="42" max="42" width="9.88671875" style="0" customWidth="1"/>
    <col min="43" max="43" width="9.4453125" style="0" customWidth="1"/>
    <col min="45" max="45" width="10.10546875" style="0" customWidth="1"/>
    <col min="47" max="47" width="10.6640625" style="0" customWidth="1"/>
    <col min="59" max="59" width="6.88671875" style="0" customWidth="1"/>
    <col min="60" max="60" width="11.3359375" style="0" customWidth="1"/>
    <col min="61" max="61" width="12.10546875" style="0" customWidth="1"/>
    <col min="62" max="62" width="10.88671875" style="0" customWidth="1"/>
    <col min="63" max="63" width="9.77734375" style="0" customWidth="1"/>
    <col min="64" max="64" width="8.3359375" style="0" customWidth="1"/>
    <col min="65" max="65" width="9.4453125" style="0" customWidth="1"/>
    <col min="66" max="66" width="11.21484375" style="0" customWidth="1"/>
    <col min="67" max="68" width="12.3359375" style="0" customWidth="1"/>
    <col min="69" max="80" width="8.5546875" style="0" customWidth="1"/>
    <col min="81" max="88" width="12.77734375" style="0" customWidth="1"/>
  </cols>
  <sheetData>
    <row r="1" spans="1:88" s="1" customFormat="1" ht="18" customHeight="1">
      <c r="A1" s="732" t="s">
        <v>46</v>
      </c>
      <c r="B1" s="734" t="s">
        <v>62</v>
      </c>
      <c r="C1" s="735" t="s">
        <v>1</v>
      </c>
      <c r="D1" s="738" t="s">
        <v>2</v>
      </c>
      <c r="E1" s="739" t="s">
        <v>17</v>
      </c>
      <c r="F1" s="702"/>
      <c r="G1" s="740"/>
      <c r="H1" s="702" t="s">
        <v>0</v>
      </c>
      <c r="I1" s="702"/>
      <c r="J1" s="702"/>
      <c r="K1" s="691"/>
      <c r="L1" s="729" t="s">
        <v>31</v>
      </c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691"/>
      <c r="Y1" s="729" t="s">
        <v>32</v>
      </c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  <c r="AK1" s="691"/>
      <c r="AL1" s="729" t="s">
        <v>63</v>
      </c>
      <c r="AM1" s="702"/>
      <c r="AN1" s="702"/>
      <c r="AO1" s="702"/>
      <c r="AP1" s="702"/>
      <c r="AQ1" s="702"/>
      <c r="AR1" s="702"/>
      <c r="AS1" s="702"/>
      <c r="AT1" s="702"/>
      <c r="AU1" s="691"/>
      <c r="AV1" s="697" t="s">
        <v>64</v>
      </c>
      <c r="AW1" s="698"/>
      <c r="AX1" s="698"/>
      <c r="AY1" s="698"/>
      <c r="AZ1" s="698"/>
      <c r="BA1" s="698"/>
      <c r="BB1" s="698"/>
      <c r="BC1" s="698"/>
      <c r="BD1" s="698"/>
      <c r="BE1" s="698"/>
      <c r="BF1" s="698"/>
      <c r="BG1" s="699"/>
      <c r="BH1" s="725" t="s">
        <v>65</v>
      </c>
      <c r="BI1" s="725"/>
      <c r="BJ1" s="725"/>
      <c r="BK1" s="725"/>
      <c r="BL1" s="725"/>
      <c r="BM1" s="725"/>
      <c r="BN1" s="725"/>
      <c r="BO1" s="725"/>
      <c r="BP1" s="726"/>
      <c r="BQ1" s="692" t="s">
        <v>4</v>
      </c>
      <c r="BR1" s="725"/>
      <c r="BS1" s="725"/>
      <c r="BT1" s="725"/>
      <c r="BU1" s="725"/>
      <c r="BV1" s="725"/>
      <c r="BW1" s="725"/>
      <c r="BX1" s="725"/>
      <c r="BY1" s="725"/>
      <c r="BZ1" s="725"/>
      <c r="CA1" s="725"/>
      <c r="CB1" s="726"/>
      <c r="CC1" s="702" t="s">
        <v>10</v>
      </c>
      <c r="CD1" s="702"/>
      <c r="CE1" s="702"/>
      <c r="CF1" s="702"/>
      <c r="CG1" s="702"/>
      <c r="CH1" s="702"/>
      <c r="CI1" s="702"/>
      <c r="CJ1" s="691"/>
    </row>
    <row r="2" spans="1:88" s="1" customFormat="1" ht="15.75" customHeight="1">
      <c r="A2" s="730"/>
      <c r="B2" s="721"/>
      <c r="C2" s="736"/>
      <c r="D2" s="717"/>
      <c r="E2" s="700" t="s">
        <v>48</v>
      </c>
      <c r="F2" s="700" t="s">
        <v>66</v>
      </c>
      <c r="G2" s="685" t="s">
        <v>67</v>
      </c>
      <c r="H2" s="717" t="s">
        <v>68</v>
      </c>
      <c r="I2" s="717" t="s">
        <v>69</v>
      </c>
      <c r="J2" s="717" t="s">
        <v>3</v>
      </c>
      <c r="K2" s="721" t="s">
        <v>70</v>
      </c>
      <c r="L2" s="693" t="s">
        <v>71</v>
      </c>
      <c r="M2" s="723"/>
      <c r="N2" s="723"/>
      <c r="O2" s="723"/>
      <c r="P2" s="717" t="s">
        <v>72</v>
      </c>
      <c r="Q2" s="717" t="s">
        <v>73</v>
      </c>
      <c r="R2" s="717" t="s">
        <v>16</v>
      </c>
      <c r="S2" s="717" t="s">
        <v>74</v>
      </c>
      <c r="T2" s="723" t="s">
        <v>18</v>
      </c>
      <c r="U2" s="723"/>
      <c r="V2" s="723"/>
      <c r="W2" s="723"/>
      <c r="X2" s="721" t="s">
        <v>75</v>
      </c>
      <c r="Y2" s="693" t="s">
        <v>71</v>
      </c>
      <c r="Z2" s="723"/>
      <c r="AA2" s="723"/>
      <c r="AB2" s="723"/>
      <c r="AC2" s="717" t="s">
        <v>72</v>
      </c>
      <c r="AD2" s="717" t="s">
        <v>73</v>
      </c>
      <c r="AE2" s="717" t="s">
        <v>16</v>
      </c>
      <c r="AF2" s="717" t="s">
        <v>74</v>
      </c>
      <c r="AG2" s="723" t="s">
        <v>18</v>
      </c>
      <c r="AH2" s="723"/>
      <c r="AI2" s="723"/>
      <c r="AJ2" s="723"/>
      <c r="AK2" s="721" t="s">
        <v>75</v>
      </c>
      <c r="AL2" s="730" t="s">
        <v>76</v>
      </c>
      <c r="AM2" s="723" t="s">
        <v>77</v>
      </c>
      <c r="AN2" s="723"/>
      <c r="AO2" s="723"/>
      <c r="AP2" s="723"/>
      <c r="AQ2" s="723"/>
      <c r="AR2" s="723"/>
      <c r="AS2" s="723"/>
      <c r="AT2" s="723"/>
      <c r="AU2" s="701"/>
      <c r="AV2" s="690" t="s">
        <v>78</v>
      </c>
      <c r="AW2" s="695" t="s">
        <v>79</v>
      </c>
      <c r="AX2" s="685" t="s">
        <v>80</v>
      </c>
      <c r="AY2" s="686"/>
      <c r="AZ2" s="700"/>
      <c r="BA2" s="685" t="s">
        <v>81</v>
      </c>
      <c r="BB2" s="686"/>
      <c r="BC2" s="686"/>
      <c r="BD2" s="686"/>
      <c r="BE2" s="686"/>
      <c r="BF2" s="686"/>
      <c r="BG2" s="687"/>
      <c r="BH2" s="700" t="s">
        <v>82</v>
      </c>
      <c r="BI2" s="723"/>
      <c r="BJ2" s="723"/>
      <c r="BK2" s="723"/>
      <c r="BL2" s="723"/>
      <c r="BM2" s="723"/>
      <c r="BN2" s="723" t="s">
        <v>83</v>
      </c>
      <c r="BO2" s="723"/>
      <c r="BP2" s="701"/>
      <c r="BQ2" s="693" t="s">
        <v>5</v>
      </c>
      <c r="BR2" s="723"/>
      <c r="BS2" s="723"/>
      <c r="BT2" s="723"/>
      <c r="BU2" s="723"/>
      <c r="BV2" s="723"/>
      <c r="BW2" s="723"/>
      <c r="BX2" s="723"/>
      <c r="BY2" s="723"/>
      <c r="BZ2" s="723"/>
      <c r="CA2" s="723"/>
      <c r="CB2" s="701"/>
      <c r="CC2" s="723" t="s">
        <v>11</v>
      </c>
      <c r="CD2" s="723"/>
      <c r="CE2" s="723"/>
      <c r="CF2" s="723"/>
      <c r="CG2" s="723"/>
      <c r="CH2" s="723"/>
      <c r="CI2" s="723"/>
      <c r="CJ2" s="701"/>
    </row>
    <row r="3" spans="1:88" s="1" customFormat="1" ht="13.5" customHeight="1">
      <c r="A3" s="730"/>
      <c r="B3" s="721"/>
      <c r="C3" s="736"/>
      <c r="D3" s="717"/>
      <c r="E3" s="700"/>
      <c r="F3" s="700"/>
      <c r="G3" s="685"/>
      <c r="H3" s="717"/>
      <c r="I3" s="717"/>
      <c r="J3" s="717"/>
      <c r="K3" s="721"/>
      <c r="L3" s="693" t="s">
        <v>84</v>
      </c>
      <c r="M3" s="723" t="s">
        <v>85</v>
      </c>
      <c r="N3" s="723" t="s">
        <v>86</v>
      </c>
      <c r="O3" s="723" t="s">
        <v>87</v>
      </c>
      <c r="P3" s="717"/>
      <c r="Q3" s="717"/>
      <c r="R3" s="717"/>
      <c r="S3" s="717"/>
      <c r="T3" s="717" t="s">
        <v>88</v>
      </c>
      <c r="U3" s="717" t="s">
        <v>89</v>
      </c>
      <c r="V3" s="717" t="s">
        <v>14</v>
      </c>
      <c r="W3" s="717" t="s">
        <v>15</v>
      </c>
      <c r="X3" s="721"/>
      <c r="Y3" s="693" t="s">
        <v>84</v>
      </c>
      <c r="Z3" s="723" t="s">
        <v>85</v>
      </c>
      <c r="AA3" s="723" t="s">
        <v>86</v>
      </c>
      <c r="AB3" s="723" t="s">
        <v>87</v>
      </c>
      <c r="AC3" s="717"/>
      <c r="AD3" s="717"/>
      <c r="AE3" s="717"/>
      <c r="AF3" s="717"/>
      <c r="AG3" s="717" t="s">
        <v>88</v>
      </c>
      <c r="AH3" s="717" t="s">
        <v>89</v>
      </c>
      <c r="AI3" s="717" t="s">
        <v>14</v>
      </c>
      <c r="AJ3" s="717" t="s">
        <v>15</v>
      </c>
      <c r="AK3" s="721"/>
      <c r="AL3" s="693"/>
      <c r="AM3" s="723" t="s">
        <v>90</v>
      </c>
      <c r="AN3" s="723"/>
      <c r="AO3" s="717" t="s">
        <v>91</v>
      </c>
      <c r="AP3" s="723"/>
      <c r="AQ3" s="723"/>
      <c r="AR3" s="723"/>
      <c r="AS3" s="723"/>
      <c r="AT3" s="717" t="s">
        <v>92</v>
      </c>
      <c r="AU3" s="721" t="s">
        <v>93</v>
      </c>
      <c r="AV3" s="681"/>
      <c r="AW3" s="683"/>
      <c r="AX3" s="695" t="s">
        <v>94</v>
      </c>
      <c r="AY3" s="695" t="s">
        <v>95</v>
      </c>
      <c r="AZ3" s="695" t="s">
        <v>96</v>
      </c>
      <c r="BA3" s="695" t="s">
        <v>97</v>
      </c>
      <c r="BB3" s="695" t="s">
        <v>98</v>
      </c>
      <c r="BC3" s="727" t="s">
        <v>99</v>
      </c>
      <c r="BD3" s="695" t="s">
        <v>100</v>
      </c>
      <c r="BE3" s="695" t="s">
        <v>101</v>
      </c>
      <c r="BF3" s="695" t="s">
        <v>102</v>
      </c>
      <c r="BG3" s="688" t="s">
        <v>103</v>
      </c>
      <c r="BH3" s="700" t="s">
        <v>104</v>
      </c>
      <c r="BI3" s="723"/>
      <c r="BJ3" s="723"/>
      <c r="BK3" s="723" t="s">
        <v>105</v>
      </c>
      <c r="BL3" s="723"/>
      <c r="BM3" s="723"/>
      <c r="BN3" s="723" t="s">
        <v>48</v>
      </c>
      <c r="BO3" s="717" t="s">
        <v>106</v>
      </c>
      <c r="BP3" s="721" t="s">
        <v>107</v>
      </c>
      <c r="BQ3" s="693" t="s">
        <v>6</v>
      </c>
      <c r="BR3" s="723"/>
      <c r="BS3" s="723"/>
      <c r="BT3" s="700" t="s">
        <v>7</v>
      </c>
      <c r="BU3" s="723"/>
      <c r="BV3" s="723"/>
      <c r="BW3" s="700" t="s">
        <v>108</v>
      </c>
      <c r="BX3" s="723"/>
      <c r="BY3" s="723"/>
      <c r="BZ3" s="700" t="s">
        <v>8</v>
      </c>
      <c r="CA3" s="723"/>
      <c r="CB3" s="701"/>
      <c r="CC3" s="723" t="s">
        <v>9</v>
      </c>
      <c r="CD3" s="717" t="s">
        <v>109</v>
      </c>
      <c r="CE3" s="717" t="s">
        <v>110</v>
      </c>
      <c r="CF3" s="719" t="s">
        <v>12</v>
      </c>
      <c r="CG3" s="717" t="s">
        <v>111</v>
      </c>
      <c r="CH3" s="719" t="s">
        <v>112</v>
      </c>
      <c r="CI3" s="717" t="s">
        <v>33</v>
      </c>
      <c r="CJ3" s="721" t="s">
        <v>13</v>
      </c>
    </row>
    <row r="4" spans="1:88" s="1" customFormat="1" ht="30" customHeight="1" thickBot="1">
      <c r="A4" s="733"/>
      <c r="B4" s="722"/>
      <c r="C4" s="737"/>
      <c r="D4" s="718"/>
      <c r="E4" s="741"/>
      <c r="F4" s="741"/>
      <c r="G4" s="742"/>
      <c r="H4" s="718"/>
      <c r="I4" s="718"/>
      <c r="J4" s="718"/>
      <c r="K4" s="722"/>
      <c r="L4" s="731"/>
      <c r="M4" s="724"/>
      <c r="N4" s="724"/>
      <c r="O4" s="724"/>
      <c r="P4" s="718"/>
      <c r="Q4" s="718"/>
      <c r="R4" s="718"/>
      <c r="S4" s="718"/>
      <c r="T4" s="718"/>
      <c r="U4" s="718"/>
      <c r="V4" s="718"/>
      <c r="W4" s="718"/>
      <c r="X4" s="722"/>
      <c r="Y4" s="731"/>
      <c r="Z4" s="724"/>
      <c r="AA4" s="724"/>
      <c r="AB4" s="724"/>
      <c r="AC4" s="718"/>
      <c r="AD4" s="718"/>
      <c r="AE4" s="718"/>
      <c r="AF4" s="718"/>
      <c r="AG4" s="718"/>
      <c r="AH4" s="718"/>
      <c r="AI4" s="718"/>
      <c r="AJ4" s="718"/>
      <c r="AK4" s="722"/>
      <c r="AL4" s="731"/>
      <c r="AM4" s="9" t="s">
        <v>113</v>
      </c>
      <c r="AN4" s="9" t="s">
        <v>37</v>
      </c>
      <c r="AO4" s="9" t="s">
        <v>114</v>
      </c>
      <c r="AP4" s="9" t="s">
        <v>115</v>
      </c>
      <c r="AQ4" s="9" t="s">
        <v>116</v>
      </c>
      <c r="AR4" s="9" t="s">
        <v>117</v>
      </c>
      <c r="AS4" s="9" t="s">
        <v>37</v>
      </c>
      <c r="AT4" s="724"/>
      <c r="AU4" s="694"/>
      <c r="AV4" s="682"/>
      <c r="AW4" s="696"/>
      <c r="AX4" s="696"/>
      <c r="AY4" s="696"/>
      <c r="AZ4" s="696"/>
      <c r="BA4" s="696"/>
      <c r="BB4" s="696"/>
      <c r="BC4" s="728"/>
      <c r="BD4" s="696"/>
      <c r="BE4" s="696"/>
      <c r="BF4" s="696"/>
      <c r="BG4" s="689"/>
      <c r="BH4" s="7" t="s">
        <v>49</v>
      </c>
      <c r="BI4" s="5" t="s">
        <v>50</v>
      </c>
      <c r="BJ4" s="5" t="s">
        <v>51</v>
      </c>
      <c r="BK4" s="5" t="s">
        <v>49</v>
      </c>
      <c r="BL4" s="5" t="s">
        <v>50</v>
      </c>
      <c r="BM4" s="5" t="s">
        <v>51</v>
      </c>
      <c r="BN4" s="724"/>
      <c r="BO4" s="724"/>
      <c r="BP4" s="694"/>
      <c r="BQ4" s="8" t="s">
        <v>49</v>
      </c>
      <c r="BR4" s="5" t="s">
        <v>50</v>
      </c>
      <c r="BS4" s="5" t="s">
        <v>51</v>
      </c>
      <c r="BT4" s="7" t="s">
        <v>49</v>
      </c>
      <c r="BU4" s="5" t="s">
        <v>50</v>
      </c>
      <c r="BV4" s="5" t="s">
        <v>51</v>
      </c>
      <c r="BW4" s="7" t="s">
        <v>49</v>
      </c>
      <c r="BX4" s="5" t="s">
        <v>50</v>
      </c>
      <c r="BY4" s="5" t="s">
        <v>51</v>
      </c>
      <c r="BZ4" s="5" t="s">
        <v>49</v>
      </c>
      <c r="CA4" s="5" t="s">
        <v>50</v>
      </c>
      <c r="CB4" s="6" t="s">
        <v>51</v>
      </c>
      <c r="CC4" s="724"/>
      <c r="CD4" s="718"/>
      <c r="CE4" s="718"/>
      <c r="CF4" s="720"/>
      <c r="CG4" s="718"/>
      <c r="CH4" s="720"/>
      <c r="CI4" s="718"/>
      <c r="CJ4" s="722"/>
    </row>
    <row r="5" spans="1:88" ht="16.5" customHeight="1">
      <c r="A5" s="590" t="s">
        <v>34</v>
      </c>
      <c r="B5" s="2" t="s">
        <v>48</v>
      </c>
      <c r="C5" s="91">
        <f>SUM(C6:C17)</f>
        <v>1350532.7</v>
      </c>
      <c r="D5" s="47">
        <v>303.4375</v>
      </c>
      <c r="E5" s="47">
        <f>SUM(E6:E17)</f>
        <v>210293.636</v>
      </c>
      <c r="F5" s="47">
        <f>SUM(F6:F17)</f>
        <v>185130.09</v>
      </c>
      <c r="G5" s="47">
        <f>SUM(G6:G17)</f>
        <v>25163.546000000002</v>
      </c>
      <c r="H5" s="47">
        <f aca="true" t="shared" si="0" ref="H5:P5">SUM(H6:H17)</f>
        <v>65153</v>
      </c>
      <c r="I5" s="47">
        <f t="shared" si="0"/>
        <v>37517.310000000005</v>
      </c>
      <c r="J5" s="47">
        <f t="shared" si="0"/>
        <v>25133.44</v>
      </c>
      <c r="K5" s="48">
        <f t="shared" si="0"/>
        <v>2502.5299999999997</v>
      </c>
      <c r="L5" s="52">
        <f t="shared" si="0"/>
        <v>839786.896</v>
      </c>
      <c r="M5" s="47">
        <f t="shared" si="0"/>
        <v>813755.1460000001</v>
      </c>
      <c r="N5" s="47">
        <f t="shared" si="0"/>
        <v>22539.75</v>
      </c>
      <c r="O5" s="47">
        <f t="shared" si="0"/>
        <v>3492</v>
      </c>
      <c r="P5" s="47">
        <f t="shared" si="0"/>
        <v>276.55895833333335</v>
      </c>
      <c r="Q5" s="47">
        <v>2938</v>
      </c>
      <c r="R5" s="90">
        <v>76.47854686459169</v>
      </c>
      <c r="S5" s="92">
        <v>925.2730338541666</v>
      </c>
      <c r="T5" s="47">
        <v>1203406.6666666667</v>
      </c>
      <c r="U5" s="47">
        <v>5840809.633333333</v>
      </c>
      <c r="V5" s="47">
        <v>291081</v>
      </c>
      <c r="W5" s="47">
        <v>753633</v>
      </c>
      <c r="X5" s="88">
        <v>3.2750498316498318</v>
      </c>
      <c r="Y5" s="91">
        <f>SUM(Y6:Y17)</f>
        <v>484523.38300000003</v>
      </c>
      <c r="Z5" s="92">
        <f>SUM(Z6:Z17)</f>
        <v>466011.97</v>
      </c>
      <c r="AA5" s="92">
        <f>SUM(AA6:AA17)</f>
        <v>14900.413</v>
      </c>
      <c r="AB5" s="92">
        <f>SUM(AB6:AB17)</f>
        <v>3611</v>
      </c>
      <c r="AC5" s="92">
        <f>SUM(AC6:AC17)</f>
        <v>226.23333333333332</v>
      </c>
      <c r="AD5" s="330">
        <v>2144</v>
      </c>
      <c r="AE5" s="93">
        <v>80.2098413201033</v>
      </c>
      <c r="AF5" s="92">
        <v>920.3038439955108</v>
      </c>
      <c r="AG5" s="92">
        <v>707453.1666666666</v>
      </c>
      <c r="AH5" s="92">
        <v>3328174.8333333335</v>
      </c>
      <c r="AI5" s="92">
        <v>155076</v>
      </c>
      <c r="AJ5" s="92">
        <v>616496</v>
      </c>
      <c r="AK5" s="94">
        <v>2.9756666666666667</v>
      </c>
      <c r="AL5" s="52">
        <f>+AL18+AL31+AL44+AL57+AL70+AL83+AL96+AL109+AL122+AL135+AL148+AL161+AL174+AL187+AL200+AL213</f>
        <v>2292460.70324</v>
      </c>
      <c r="AM5" s="47">
        <f>SUM(AM6:AM17)</f>
        <v>907262.0999999999</v>
      </c>
      <c r="AN5" s="47">
        <v>5818314.775</v>
      </c>
      <c r="AO5" s="47">
        <f>SUM(AO6:AO17)</f>
        <v>478662.2960000001</v>
      </c>
      <c r="AP5" s="47">
        <v>52487.600999999995</v>
      </c>
      <c r="AQ5" s="47">
        <v>46620.861000000004</v>
      </c>
      <c r="AR5" s="47">
        <v>5866.8</v>
      </c>
      <c r="AS5" s="47">
        <v>231189</v>
      </c>
      <c r="AT5" s="47">
        <v>3396.25</v>
      </c>
      <c r="AU5" s="48">
        <f>SUM(AU6:AU17)</f>
        <v>903139.79324</v>
      </c>
      <c r="AV5" s="37">
        <v>0.33208143939393936</v>
      </c>
      <c r="AW5" s="47">
        <v>1660.0517913510103</v>
      </c>
      <c r="AX5" s="20">
        <v>51.40803551136363</v>
      </c>
      <c r="AY5" s="20">
        <f>SUM(AY18+AY31+AY44+AY57+AY70+AY83+AY96+AY109+AY122+AY135+AY148+AY161+AY174+AY187+AY200+AY213)/16</f>
        <v>39.07496843434344</v>
      </c>
      <c r="AZ5" s="20">
        <f>SUM(AZ18+AZ31+AZ44+AZ57+AZ70+AZ83+AZ96+AZ109+AZ122+AZ135+AZ148+AZ161+AZ174+AZ187+AZ200+AZ213)/16</f>
        <v>9.521745580808082</v>
      </c>
      <c r="BA5" s="20">
        <f>SUM(BA18+BA31+BA44+BA57+BA70+BA83+BA96+BA109+BA122+BA135+BA148+BA161+BA174+BA187+BA200+BA213)/16</f>
        <v>24.030456912878787</v>
      </c>
      <c r="BB5" s="20">
        <v>3.6317242739898994</v>
      </c>
      <c r="BC5" s="20">
        <v>19.839373421717173</v>
      </c>
      <c r="BD5" s="20">
        <v>42.88408617424242</v>
      </c>
      <c r="BE5" s="20">
        <v>4.967236426767676</v>
      </c>
      <c r="BF5" s="424">
        <v>4.48837279040404</v>
      </c>
      <c r="BG5" s="53">
        <v>0.14052083333333332</v>
      </c>
      <c r="BH5" s="52">
        <f>SUM(BH18+BH31+BH44+BH57+BH70+BH83+BH96+BH109+BH122+BH135+BH148+BH161+BH174+BH187+BH200+BH213)/16</f>
        <v>57360.6086880786</v>
      </c>
      <c r="BI5" s="47">
        <f>SUM(BI18+BI31+BI44+BI57+BI70+BI83+BI96+BI109+BI122+BI135+BI148+BI161+BI174+BI187+BI200+BI213)/9</f>
        <v>46590.55161319545</v>
      </c>
      <c r="BJ5" s="47"/>
      <c r="BK5" s="47">
        <f>SUM(BK18+BK31+BK44+BK57+BK70+BK83+BK96+BK109+BK122+BK135+BK148+BK161+BK174+BK187+BK200+BK213)/16</f>
        <v>185.1934674873737</v>
      </c>
      <c r="BL5" s="47">
        <v>182.04584722222222</v>
      </c>
      <c r="BM5" s="47"/>
      <c r="BN5" s="47">
        <f>SUM(BN6:BN17)</f>
        <v>261345.3</v>
      </c>
      <c r="BO5" s="47">
        <f>SUM(BO6:BO17)</f>
        <v>21373.4</v>
      </c>
      <c r="BP5" s="48">
        <f>SUM(BP6:BP17)</f>
        <v>239971.90000000002</v>
      </c>
      <c r="BQ5" s="23">
        <f>SUM(BQ18+BQ31+BQ44+BQ57+BQ70+BQ83+BQ96+BQ109+BQ122+BQ135+BQ148+BQ161+BQ174+BQ187+BQ200+BQ213)/16</f>
        <v>8.878672664141416</v>
      </c>
      <c r="BR5" s="24">
        <v>7.708569023569023</v>
      </c>
      <c r="BS5" s="24">
        <v>22.064545454545453</v>
      </c>
      <c r="BT5" s="24">
        <f>SUM(BT18+BT31+BT44+BT57+BT70+BT83+BT96+BT109+BT122+BT135+BT148+BT161+BT174+BT187+BT200+BT213)/16</f>
        <v>37.10028803661616</v>
      </c>
      <c r="BU5" s="24">
        <v>34.95848456790124</v>
      </c>
      <c r="BV5" s="24">
        <v>23.178181818181816</v>
      </c>
      <c r="BW5" s="24">
        <f>SUM(BW18+BW31+BW44+BW57+BW70+BW83+BW96+BW109+BW122+BW135+BW148+BW161+BW174+BW187+BW200+BW213)/16</f>
        <v>4.807719381313132</v>
      </c>
      <c r="BX5" s="24">
        <v>4.986145622895624</v>
      </c>
      <c r="BY5" s="24">
        <v>17.771818181818183</v>
      </c>
      <c r="BZ5" s="24">
        <f>SUM(BZ18+BZ31+BZ44+BZ57+BZ70+BZ83+BZ96+BZ109+BZ122+BZ135+BZ148+BZ161+BZ174+BZ187+BZ200+BZ213)/16</f>
        <v>7.352333491161616</v>
      </c>
      <c r="CA5" s="24">
        <v>8.716800785634117</v>
      </c>
      <c r="CB5" s="25">
        <v>12.356363636363636</v>
      </c>
      <c r="CC5" s="23">
        <v>7.478184185606062</v>
      </c>
      <c r="CD5" s="24">
        <v>10.926773200757577</v>
      </c>
      <c r="CE5" s="24">
        <v>15.205527935606062</v>
      </c>
      <c r="CF5" s="24">
        <v>13.53912168560606</v>
      </c>
      <c r="CG5" s="56">
        <v>0.07915156250000002</v>
      </c>
      <c r="CH5" s="56">
        <v>0.1119517518939394</v>
      </c>
      <c r="CI5" s="56">
        <v>0.0034966517857142852</v>
      </c>
      <c r="CJ5" s="57">
        <v>0.019525173611111116</v>
      </c>
    </row>
    <row r="6" spans="1:88" ht="16.5" customHeight="1">
      <c r="A6" s="590" t="s">
        <v>45</v>
      </c>
      <c r="B6" s="3" t="s">
        <v>19</v>
      </c>
      <c r="C6" s="95">
        <f>+C19+C32+C45+C58+C71+C84+C97+C110+C123+C136+C149+C162+C175+C188+C201+C214</f>
        <v>94544.19</v>
      </c>
      <c r="D6" s="14">
        <f>SUM(D19+D32+D45+D58+D71+D84+D97+D110+D123+D136+D149+D162+D175+D188)/15</f>
        <v>26.066666666666666</v>
      </c>
      <c r="E6" s="14">
        <f aca="true" t="shared" si="1" ref="E6:E17">F6+G6</f>
        <v>15243.676999999998</v>
      </c>
      <c r="F6" s="429">
        <f aca="true" t="shared" si="2" ref="F6:K6">+F19+F32+F45+F58+F71+F84+F97+F110+F123+F136+F149+F162+F175+F188+F201+F214</f>
        <v>13404.429999999998</v>
      </c>
      <c r="G6" s="429">
        <f t="shared" si="2"/>
        <v>1839.247</v>
      </c>
      <c r="H6" s="14">
        <f t="shared" si="2"/>
        <v>3087</v>
      </c>
      <c r="I6" s="14">
        <f t="shared" si="2"/>
        <v>2131.89</v>
      </c>
      <c r="J6" s="14">
        <f t="shared" si="2"/>
        <v>853.8299999999999</v>
      </c>
      <c r="K6" s="18">
        <f t="shared" si="2"/>
        <v>101.8</v>
      </c>
      <c r="L6" s="39">
        <f>SUM(M6:O6)</f>
        <v>62134.71</v>
      </c>
      <c r="M6" s="14">
        <v>61170.72</v>
      </c>
      <c r="N6" s="14">
        <v>899.99</v>
      </c>
      <c r="O6" s="14">
        <v>64</v>
      </c>
      <c r="P6" s="14">
        <f>+(P19+P32+P45+P58+P71+P84+P97+P110+P123+P136+P149+P162+P175+P188+P201+P214)/16</f>
        <v>21.33875</v>
      </c>
      <c r="Q6" s="14">
        <f>+L6/P6</f>
        <v>2911.8252006326516</v>
      </c>
      <c r="R6" s="14"/>
      <c r="S6" s="32">
        <v>911.8476923076923</v>
      </c>
      <c r="T6" s="14">
        <v>207706</v>
      </c>
      <c r="U6" s="14">
        <v>481033</v>
      </c>
      <c r="V6" s="14">
        <v>6324</v>
      </c>
      <c r="W6" s="14">
        <v>52947</v>
      </c>
      <c r="X6" s="89">
        <v>3.4608333333333334</v>
      </c>
      <c r="Y6" s="95">
        <f>+Y19+Y32+Y45+Y58+Y71+Y84+Y97+Y110+Y123+Y136+Y149+Y162+Y175+Y188+Y201+Y214</f>
        <v>32235.760000000002</v>
      </c>
      <c r="Z6" s="32">
        <v>30628.24</v>
      </c>
      <c r="AA6" s="32">
        <v>795.52</v>
      </c>
      <c r="AB6" s="32">
        <v>812</v>
      </c>
      <c r="AC6" s="14">
        <f aca="true" t="shared" si="3" ref="AC6:AC17">+(AC19+AC32+AC45+AC71+AC123+AC149+AC188+AC201+AC214)/9</f>
        <v>13.555555555555555</v>
      </c>
      <c r="AD6" s="332">
        <f>+Y6/14</f>
        <v>2302.554285714286</v>
      </c>
      <c r="AE6" s="32"/>
      <c r="AF6" s="32">
        <v>927.75</v>
      </c>
      <c r="AG6" s="32">
        <v>108560</v>
      </c>
      <c r="AH6" s="32">
        <v>195660</v>
      </c>
      <c r="AI6" s="32">
        <v>0</v>
      </c>
      <c r="AJ6" s="32">
        <v>76015</v>
      </c>
      <c r="AK6" s="96">
        <v>3.65</v>
      </c>
      <c r="AL6" s="38">
        <v>126155.95</v>
      </c>
      <c r="AM6" s="13">
        <f aca="true" t="shared" si="4" ref="AM6:AM12">+AM19+AM32+AM45+AM58+AM71+AM84+AM97+AM110+AM123+AM136+AM149+AM162+AM175+AM188+AM201+AM214</f>
        <v>65179.1</v>
      </c>
      <c r="AN6" s="13">
        <f>+AN19+AN32+AN58+AN71+AN84+AN97+AN110+AN123+AN136+AN149+AN162+AN175+AN188+AN201+AN214</f>
        <v>490489.32</v>
      </c>
      <c r="AO6" s="13">
        <f aca="true" t="shared" si="5" ref="AO6:AO17">+AO19+AO32+AO45+AO58+AO71+AO84+AO97+AO110+AO123+AO136+AO149+AO162+AO175+AO188+AO201+AO214</f>
        <v>32618.760000000002</v>
      </c>
      <c r="AP6" s="13">
        <v>3849.2140000000004</v>
      </c>
      <c r="AQ6" s="13">
        <v>3316.6340000000005</v>
      </c>
      <c r="AR6" s="13">
        <v>532.6</v>
      </c>
      <c r="AS6" s="13">
        <v>20914</v>
      </c>
      <c r="AT6" s="13">
        <v>459.63</v>
      </c>
      <c r="AU6" s="17">
        <f aca="true" t="shared" si="6" ref="AU6:AU17">+AU19+AU32+AU45+AU58+AU71+AU84+AU97+AU110+AU123+AU136+AU149+AU162+AU175+AU188+AU201+AU214</f>
        <v>62579.979999999996</v>
      </c>
      <c r="AV6" s="35">
        <v>0.34371428571428575</v>
      </c>
      <c r="AW6" s="13">
        <v>1585.5785714285714</v>
      </c>
      <c r="AX6" s="21">
        <v>50.98642857142858</v>
      </c>
      <c r="AY6" s="21">
        <f>SUM(AY19+AY32+AY45+AY58+AY71+AY84+AY97+AY110+AY123+AY136+AY149+AY162+AY175+AY188+AY201+AY214)/14</f>
        <v>39.462857142857146</v>
      </c>
      <c r="AZ6" s="21">
        <f>SUM(AZ19+AZ32+AZ45+AZ58+AZ71+AZ84+AZ97+AZ110+AZ123+AZ136+AZ149+AZ162+AZ175+AZ188+AZ201+AZ214)/14</f>
        <v>9.558571428571428</v>
      </c>
      <c r="BA6" s="22">
        <f>SUM(BA19+BA32+BA45+BA58+BA71+BA84+BA97+BA110+BA123+BA136+BA149+BA162+BA175+BA188+BA201+BA214)/14</f>
        <v>22.35928571428571</v>
      </c>
      <c r="BB6" s="21">
        <v>3.6857142857142864</v>
      </c>
      <c r="BC6" s="21">
        <v>19.832857142857144</v>
      </c>
      <c r="BD6" s="21">
        <v>44.315</v>
      </c>
      <c r="BE6" s="21">
        <v>4.643571428571429</v>
      </c>
      <c r="BF6" s="425">
        <v>4.772142857142858</v>
      </c>
      <c r="BG6" s="54">
        <v>0.0071428571428571435</v>
      </c>
      <c r="BH6" s="39">
        <f>SUM(BH19+BH32+BH45+BH58+BH71+BH84+BH97+BH110+BH123+BH136+BH149+BH162+BH175+BH188+BH201+BH214)/13</f>
        <v>38763.21871794872</v>
      </c>
      <c r="BI6" s="13">
        <v>47124.75</v>
      </c>
      <c r="BJ6" s="13"/>
      <c r="BK6" s="13">
        <f>SUM(BK19+BK32+BK45+BK58+BK71+BK84+BK97+BK110+BK123+BK136+BK149+BK162+BK175+BK188+BK201+BK214)/13</f>
        <v>186.72307692307692</v>
      </c>
      <c r="BL6" s="13">
        <v>185.23333333333335</v>
      </c>
      <c r="BM6" s="13"/>
      <c r="BN6" s="13">
        <f aca="true" t="shared" si="7" ref="BN6:BN17">SUM(BN19+BN32+BN45+BN58+BN71+BN84+BN97+BN110+BN123+BN136+BN149+BN162+BN175+BN188+BN201+BN214)</f>
        <v>16873.1</v>
      </c>
      <c r="BO6" s="13">
        <f>+BO19+BO32+BO45+BO58+BO71+BO84+BO97+BO110+BO123+BO136+BO149+BO162+BO175+BO188+BO201+BO214</f>
        <v>1554</v>
      </c>
      <c r="BP6" s="17">
        <f>+BP19+BP32+BP45+BP58+BP71+BP84+BP97+BP110+BP123+BP136+BP149+BP162+BP175+BP188+BP201+BP214</f>
        <v>15319.099999999999</v>
      </c>
      <c r="BQ6" s="26">
        <f>SUM(BQ19+BQ32+BQ45+BQ58+BQ71+BQ84+BQ97+BQ110+BQ123+BQ136+BQ149+BQ162+BQ175+BQ188+BQ201+BQ214)/13</f>
        <v>7.636153846153847</v>
      </c>
      <c r="BR6" s="27">
        <v>5.95</v>
      </c>
      <c r="BS6" s="27">
        <v>13.78</v>
      </c>
      <c r="BT6" s="27">
        <f>SUM(BT19+BT32+BT45+BT58+BT71+BT84+BT97+BT110+BT123+BT136+BT149+BT162+BT175+BT188+BT201+BT214)/13</f>
        <v>38.84307692307692</v>
      </c>
      <c r="BU6" s="27">
        <v>32.835</v>
      </c>
      <c r="BV6" s="27">
        <v>38.9</v>
      </c>
      <c r="BW6" s="27">
        <f>SUM(BW19+BW32+BW45+BW58+BW71+BW84+BW97+BW110+BW123+BW136+BW149+BW162+BW175+BW188+BW201+BW214)/13</f>
        <v>5.910769230769231</v>
      </c>
      <c r="BX6" s="27">
        <v>7.87</v>
      </c>
      <c r="BY6" s="27">
        <v>21.89</v>
      </c>
      <c r="BZ6" s="27">
        <f>SUM(BZ19+BZ32+BZ45+BZ58+BZ71+BZ84+BZ97+BZ110+BZ123+BZ136+BZ149+BZ162+BZ175+BZ188+BZ201+BZ214)/13</f>
        <v>8.593846153846155</v>
      </c>
      <c r="CA6" s="27">
        <v>7.3525</v>
      </c>
      <c r="CB6" s="44">
        <v>5.95</v>
      </c>
      <c r="CC6" s="28">
        <v>7.5684615384615395</v>
      </c>
      <c r="CD6" s="29">
        <v>18.68</v>
      </c>
      <c r="CE6" s="29">
        <v>23.179230769230767</v>
      </c>
      <c r="CF6" s="29">
        <v>19.442307692307693</v>
      </c>
      <c r="CG6" s="45">
        <v>0.08883333333333333</v>
      </c>
      <c r="CH6" s="45">
        <v>0.11475000000000002</v>
      </c>
      <c r="CI6" s="45">
        <v>0.00012307692307692307</v>
      </c>
      <c r="CJ6" s="46">
        <v>0.038461538461538464</v>
      </c>
    </row>
    <row r="7" spans="1:88" ht="16.5" customHeight="1">
      <c r="A7" s="591"/>
      <c r="B7" s="3" t="s">
        <v>20</v>
      </c>
      <c r="C7" s="95">
        <f aca="true" t="shared" si="8" ref="C7:C17">+C20+C33+C46+C59+C72+C85+C98+C111+C124+C137+C150+C163+C176+C189+C202+C215</f>
        <v>100695.78</v>
      </c>
      <c r="D7" s="14">
        <v>25.266666666666666</v>
      </c>
      <c r="E7" s="14">
        <f t="shared" si="1"/>
        <v>15490.914999999999</v>
      </c>
      <c r="F7" s="429">
        <f aca="true" t="shared" si="9" ref="F7:F17">+F20+F33+F46+F59+F72+F85+F98+F111+F124+F137+F150+F163+F176+F189+F202+F215</f>
        <v>13647.699999999999</v>
      </c>
      <c r="G7" s="429">
        <f aca="true" t="shared" si="10" ref="G7:G17">+G20+G33+G46+G59+G72+G85+G98+G111+G124+G137+G150+G163+G176+G189+G202+G215</f>
        <v>1843.215</v>
      </c>
      <c r="H7" s="14">
        <f aca="true" t="shared" si="11" ref="H7:K17">+H20+H33+H46+H59+H72+H85+H98+H111+H124+H137+H150+H163+H176+H189+H202+H215</f>
        <v>2341</v>
      </c>
      <c r="I7" s="14">
        <f t="shared" si="11"/>
        <v>1262.3600000000001</v>
      </c>
      <c r="J7" s="14">
        <f t="shared" si="11"/>
        <v>889.79</v>
      </c>
      <c r="K7" s="18">
        <f t="shared" si="11"/>
        <v>24.5</v>
      </c>
      <c r="L7" s="39">
        <f aca="true" t="shared" si="12" ref="L7:L17">SUM(M7:O7)</f>
        <v>62056.295</v>
      </c>
      <c r="M7" s="14">
        <v>60827.045</v>
      </c>
      <c r="N7" s="14">
        <v>860.25</v>
      </c>
      <c r="O7" s="14">
        <v>369</v>
      </c>
      <c r="P7" s="14">
        <f aca="true" t="shared" si="13" ref="P7:P17">+(P20+P33+P46+P59+P72+P85+P98+P111+P124+P137+P150+P163+P176+P189+P202+P215)/16</f>
        <v>20.125</v>
      </c>
      <c r="Q7" s="14">
        <f>+L7/P7</f>
        <v>3083.5426086956522</v>
      </c>
      <c r="R7" s="14"/>
      <c r="S7" s="32">
        <v>926.4214285714286</v>
      </c>
      <c r="T7" s="14">
        <v>134732</v>
      </c>
      <c r="U7" s="14">
        <v>501419</v>
      </c>
      <c r="V7" s="14">
        <v>26138</v>
      </c>
      <c r="W7" s="14">
        <v>103434</v>
      </c>
      <c r="X7" s="89">
        <v>3.2609090909090908</v>
      </c>
      <c r="Y7" s="95">
        <f aca="true" t="shared" si="14" ref="Y7:Y17">+Y20+Y33+Y46+Y59+Y72+Y85+Y98+Y111+Y124+Y137+Y150+Y163+Y176+Y189+Y202+Y215</f>
        <v>26792.37</v>
      </c>
      <c r="Z7" s="32">
        <v>26046.77</v>
      </c>
      <c r="AA7" s="32">
        <v>423.6</v>
      </c>
      <c r="AB7" s="32">
        <v>322</v>
      </c>
      <c r="AC7" s="14">
        <f t="shared" si="3"/>
        <v>10.88888888888889</v>
      </c>
      <c r="AD7" s="14">
        <f aca="true" t="shared" si="15" ref="AD7:AD17">+Y7/14</f>
        <v>1913.7407142857141</v>
      </c>
      <c r="AE7" s="32"/>
      <c r="AF7" s="32">
        <v>925</v>
      </c>
      <c r="AG7" s="32">
        <v>101877</v>
      </c>
      <c r="AH7" s="32">
        <v>296592</v>
      </c>
      <c r="AI7" s="32">
        <v>5820</v>
      </c>
      <c r="AJ7" s="32">
        <v>62423</v>
      </c>
      <c r="AK7" s="96">
        <v>3.25</v>
      </c>
      <c r="AL7" s="39">
        <v>125393.166</v>
      </c>
      <c r="AM7" s="14">
        <f t="shared" si="4"/>
        <v>70219.2</v>
      </c>
      <c r="AN7" s="14">
        <f>+AN20+AN33+AN59+AN72+AN85+AN98+AN111+AN124+AN137+AN150+AN163+AN176+AN189+AN202+AN215</f>
        <v>445249.865</v>
      </c>
      <c r="AO7" s="14">
        <f t="shared" si="5"/>
        <v>27815.064</v>
      </c>
      <c r="AP7" s="14">
        <v>3064.7419999999997</v>
      </c>
      <c r="AQ7" s="14">
        <v>2573.7019999999998</v>
      </c>
      <c r="AR7" s="14">
        <v>491</v>
      </c>
      <c r="AS7" s="14">
        <v>19752</v>
      </c>
      <c r="AT7" s="14">
        <v>411.37</v>
      </c>
      <c r="AU7" s="18">
        <f t="shared" si="6"/>
        <v>59099.909999999996</v>
      </c>
      <c r="AV7" s="36">
        <v>0.3267333333333333</v>
      </c>
      <c r="AW7" s="14">
        <v>1713.4820000000002</v>
      </c>
      <c r="AX7" s="22">
        <v>50.268000000000015</v>
      </c>
      <c r="AY7" s="22">
        <f>SUM(AY20+AY33+AY46+AY59+AY72+AY85+AY98+AY111+AY124+AY137+AY150+AY163+AY176+AY189+AY202+AY215)/15</f>
        <v>39.88000000000001</v>
      </c>
      <c r="AZ7" s="22">
        <f>SUM(AZ20+AZ33+AZ46+AZ59+AZ72+AZ85+AZ98+AZ111+AZ124+AZ137+AZ150+AZ163+AZ176+AZ189+AZ202+AZ215)/15</f>
        <v>9.859333333333334</v>
      </c>
      <c r="BA7" s="22">
        <f>SUM(BA20+BA33+BA46+BA59+BA72+BA85+BA98+BA111+BA124+BA137+BA150+BA163+BA176+BA189+BA202+BA215)/15</f>
        <v>23.310000000000002</v>
      </c>
      <c r="BB7" s="22">
        <v>3.912666666666667</v>
      </c>
      <c r="BC7" s="22">
        <v>21.181333333333335</v>
      </c>
      <c r="BD7" s="22">
        <v>42.87733333333334</v>
      </c>
      <c r="BE7" s="22">
        <v>4.227333333333333</v>
      </c>
      <c r="BF7" s="426">
        <v>4.5520000000000005</v>
      </c>
      <c r="BG7" s="55">
        <v>0.013333333333333334</v>
      </c>
      <c r="BH7" s="39">
        <f>SUM(BH20+BH33+BH46+BH59+BH72+BH85+BH98+BH111+BH124+BH137+BH150+BH163+BH176+BH189+BH202+BH215)/14</f>
        <v>40347.18789473684</v>
      </c>
      <c r="BI7" s="14">
        <v>54410.75</v>
      </c>
      <c r="BJ7" s="14"/>
      <c r="BK7" s="14">
        <f>SUM(BK20+BK33+BK46+BK59+BK72+BK85+BK98+BK111+BK124+BK137+BK150+BK163+BK176+BK189+BK202+BK215)/14</f>
        <v>188.46071428571426</v>
      </c>
      <c r="BL7" s="14">
        <v>191.16666666666666</v>
      </c>
      <c r="BM7" s="14"/>
      <c r="BN7" s="14">
        <f t="shared" si="7"/>
        <v>17160</v>
      </c>
      <c r="BO7" s="14">
        <f aca="true" t="shared" si="16" ref="BO7:BO17">+BO20+BO33+BO46+BO59+BO72+BO85+BO98+BO111+BO124+BO137+BO150+BO163+BO176+BO189+BO202+BO215</f>
        <v>1214</v>
      </c>
      <c r="BP7" s="18">
        <f aca="true" t="shared" si="17" ref="BP7:BP17">SUM(BP20+BP33+BP46+BP59+BP72+BP85+BP98+BP111+BP124+BP137+BP150+BP163+BP176+BP189+BP202+BP215)</f>
        <v>15946</v>
      </c>
      <c r="BQ7" s="28">
        <f>SUM(BQ20+BQ33+BQ46+BQ59+BQ72+BQ85+BQ98+BQ111+BQ124+BQ137+BQ150+BQ163+BQ176+BQ189+BQ202+BQ215)/14</f>
        <v>8.428571428571429</v>
      </c>
      <c r="BR7" s="29">
        <v>11.465</v>
      </c>
      <c r="BS7" s="29">
        <v>24.9</v>
      </c>
      <c r="BT7" s="29">
        <f>SUM(BT20+BT33+BT46+BT59+BT72+BT85+BT98+BT111+BT124+BT137+BT150+BT163+BT176+BT189+BT202+BT215)/14</f>
        <v>36.42285714285715</v>
      </c>
      <c r="BU7" s="29">
        <v>31.08</v>
      </c>
      <c r="BV7" s="29">
        <v>37.2</v>
      </c>
      <c r="BW7" s="29">
        <f>SUM(BW20+BW33+BW46+BW59+BW72+BW85+BW98+BW111+BW124+BW137+BW150+BW163+BW176+BW189+BW202+BW215)/14</f>
        <v>6.703571428571428</v>
      </c>
      <c r="BX7" s="29">
        <v>6.7625</v>
      </c>
      <c r="BY7" s="29">
        <v>22.7</v>
      </c>
      <c r="BZ7" s="29">
        <f>SUM(BZ20+BZ33+BZ46+BZ59+BZ72+BZ85+BZ98+BZ111+BZ124+BZ137+BZ150+BZ163+BZ176+BZ189+BZ202+BZ215)/14</f>
        <v>9.034285714285714</v>
      </c>
      <c r="CA7" s="29">
        <v>8.655</v>
      </c>
      <c r="CB7" s="30">
        <v>17.38</v>
      </c>
      <c r="CC7" s="28">
        <v>7.460714285714287</v>
      </c>
      <c r="CD7" s="29">
        <v>9.49892857142857</v>
      </c>
      <c r="CE7" s="29">
        <v>15.15</v>
      </c>
      <c r="CF7" s="29">
        <v>14.046428571428569</v>
      </c>
      <c r="CG7" s="45">
        <v>0.06192307692307693</v>
      </c>
      <c r="CH7" s="45">
        <v>0.12923076923076923</v>
      </c>
      <c r="CI7" s="45">
        <v>0.00014285714285714287</v>
      </c>
      <c r="CJ7" s="46">
        <v>0.016142857142857143</v>
      </c>
    </row>
    <row r="8" spans="1:88" ht="16.5" customHeight="1">
      <c r="A8" s="592"/>
      <c r="B8" s="3" t="s">
        <v>21</v>
      </c>
      <c r="C8" s="95">
        <f t="shared" si="8"/>
        <v>98606.19000000002</v>
      </c>
      <c r="D8" s="14">
        <v>26.533333333333335</v>
      </c>
      <c r="E8" s="14">
        <f t="shared" si="1"/>
        <v>16697.737</v>
      </c>
      <c r="F8" s="429">
        <f t="shared" si="9"/>
        <v>14744.68</v>
      </c>
      <c r="G8" s="429">
        <f t="shared" si="10"/>
        <v>1953.0569999999998</v>
      </c>
      <c r="H8" s="14">
        <f t="shared" si="11"/>
        <v>2323</v>
      </c>
      <c r="I8" s="14">
        <f t="shared" si="11"/>
        <v>1336.18</v>
      </c>
      <c r="J8" s="14">
        <f t="shared" si="11"/>
        <v>913.25</v>
      </c>
      <c r="K8" s="18">
        <f t="shared" si="11"/>
        <v>0</v>
      </c>
      <c r="L8" s="39">
        <f t="shared" si="12"/>
        <v>63309.564999999995</v>
      </c>
      <c r="M8" s="14">
        <v>61894.825</v>
      </c>
      <c r="N8" s="14">
        <v>942.74</v>
      </c>
      <c r="O8" s="14">
        <v>472</v>
      </c>
      <c r="P8" s="14">
        <f t="shared" si="13"/>
        <v>21.723958333333336</v>
      </c>
      <c r="Q8" s="14">
        <f aca="true" t="shared" si="18" ref="Q8:Q17">+L8/P8</f>
        <v>2914.273910333253</v>
      </c>
      <c r="R8" s="14"/>
      <c r="S8" s="32">
        <v>931.4860714285713</v>
      </c>
      <c r="T8" s="14">
        <v>111593</v>
      </c>
      <c r="U8" s="14">
        <v>422037</v>
      </c>
      <c r="V8" s="14">
        <v>16700</v>
      </c>
      <c r="W8" s="14">
        <v>105707</v>
      </c>
      <c r="X8" s="89">
        <v>3.233916666666667</v>
      </c>
      <c r="Y8" s="95">
        <f t="shared" si="14"/>
        <v>32675.200000000004</v>
      </c>
      <c r="Z8" s="32">
        <v>31878.07</v>
      </c>
      <c r="AA8" s="32">
        <v>385.13</v>
      </c>
      <c r="AB8" s="32">
        <v>412</v>
      </c>
      <c r="AC8" s="14">
        <f t="shared" si="3"/>
        <v>14.355555555555554</v>
      </c>
      <c r="AD8" s="14">
        <f t="shared" si="15"/>
        <v>2333.9428571428575</v>
      </c>
      <c r="AE8" s="32"/>
      <c r="AF8" s="32">
        <v>919.1666666666666</v>
      </c>
      <c r="AG8" s="32">
        <v>117141</v>
      </c>
      <c r="AH8" s="32">
        <v>252369</v>
      </c>
      <c r="AI8" s="32">
        <v>16330</v>
      </c>
      <c r="AJ8" s="32">
        <v>74132</v>
      </c>
      <c r="AK8" s="96">
        <v>2.85</v>
      </c>
      <c r="AL8" s="39">
        <v>133081.6029</v>
      </c>
      <c r="AM8" s="14">
        <f t="shared" si="4"/>
        <v>66371.8</v>
      </c>
      <c r="AN8" s="14">
        <f>+AN21+AN34+AN60+AN73+AN86+AN99+AN112+AN125+AN138+AN151+AN164+AN177+AN190+AN203+AN216</f>
        <v>450115.53500000003</v>
      </c>
      <c r="AO8" s="14">
        <f t="shared" si="5"/>
        <v>37586.918</v>
      </c>
      <c r="AP8" s="14">
        <v>4519.392</v>
      </c>
      <c r="AQ8" s="14">
        <v>3810.0620000000004</v>
      </c>
      <c r="AR8" s="14">
        <v>709.3</v>
      </c>
      <c r="AS8" s="14">
        <v>27306</v>
      </c>
      <c r="AT8" s="14">
        <v>433.81</v>
      </c>
      <c r="AU8" s="18">
        <f t="shared" si="6"/>
        <v>63373.4889</v>
      </c>
      <c r="AV8" s="36">
        <v>0.31885714285714284</v>
      </c>
      <c r="AW8" s="14">
        <v>1860.037857142857</v>
      </c>
      <c r="AX8" s="22">
        <v>47.80928571428571</v>
      </c>
      <c r="AY8" s="22">
        <f aca="true" t="shared" si="19" ref="AY8:BA9">SUM(AY21+AY34+AY47+AY60+AY73+AY86+AY99+AY112+AY125+AY138+AY151+AY164+AY177+AY190+AY203+AY216)/14</f>
        <v>41.495000000000005</v>
      </c>
      <c r="AZ8" s="22">
        <f t="shared" si="19"/>
        <v>10.695714285714288</v>
      </c>
      <c r="BA8" s="22">
        <f t="shared" si="19"/>
        <v>25.712857142857143</v>
      </c>
      <c r="BB8" s="22">
        <v>4.183571428571429</v>
      </c>
      <c r="BC8" s="22">
        <v>18.837142857142858</v>
      </c>
      <c r="BD8" s="22">
        <v>41.79571428571428</v>
      </c>
      <c r="BE8" s="22">
        <v>4.332857142857143</v>
      </c>
      <c r="BF8" s="426">
        <v>4.757142857142858</v>
      </c>
      <c r="BG8" s="55">
        <v>0.2992857142857143</v>
      </c>
      <c r="BH8" s="39">
        <f>SUM(BH21+BH34+BH47+BH60+BH73+BH86+BH99+BH112+BH125+BH138+BH151+BH164+BH177+BH190+BH203+BH216)/13</f>
        <v>39733.31009429281</v>
      </c>
      <c r="BI8" s="14">
        <v>44599.4</v>
      </c>
      <c r="BJ8" s="14"/>
      <c r="BK8" s="14">
        <f>SUM(BK21+BK34+BK47+BK60+BK73+BK86+BK99+BK112+BK125+BK138+BK151+BK164+BK177+BK190+BK203+BK216)/13</f>
        <v>183.5</v>
      </c>
      <c r="BL8" s="14">
        <v>182.54</v>
      </c>
      <c r="BM8" s="14"/>
      <c r="BN8" s="14">
        <f t="shared" si="7"/>
        <v>20162.899999999998</v>
      </c>
      <c r="BO8" s="14">
        <f t="shared" si="16"/>
        <v>1852</v>
      </c>
      <c r="BP8" s="18">
        <f t="shared" si="17"/>
        <v>18310.899999999998</v>
      </c>
      <c r="BQ8" s="28">
        <f>SUM(BQ21+BQ34+BQ47+BQ60+BQ73+BQ86+BQ99+BQ112+BQ125+BQ138+BQ151+BQ164+BQ177+BQ190+BQ203+BQ216)/13</f>
        <v>8.366923076923076</v>
      </c>
      <c r="BR8" s="29">
        <v>7.618</v>
      </c>
      <c r="BS8" s="29">
        <v>31.95</v>
      </c>
      <c r="BT8" s="29">
        <f>SUM(BT21+BT34+BT47+BT60+BT73+BT86+BT99+BT112+BT125+BT138+BT151+BT164+BT177+BT190+BT203+BT216)/13</f>
        <v>38.78692307692308</v>
      </c>
      <c r="BU8" s="29">
        <v>35.49</v>
      </c>
      <c r="BV8" s="29">
        <v>29.87</v>
      </c>
      <c r="BW8" s="29">
        <f>SUM(BW21+BW34+BW47+BW60+BW73+BW86+BW99+BW112+BW125+BW138+BW151+BW164+BW177+BW190+BW203+BW216)/13</f>
        <v>4.394615384615385</v>
      </c>
      <c r="BX8" s="29">
        <v>6.804</v>
      </c>
      <c r="BY8" s="29">
        <v>23.37</v>
      </c>
      <c r="BZ8" s="29">
        <f>SUM(BZ21+BZ34+BZ47+BZ60+BZ73+BZ86+BZ99+BZ112+BZ125+BZ138+BZ151+BZ164+BZ177+BZ190+BZ203+BZ216)/13</f>
        <v>7.766923076923076</v>
      </c>
      <c r="CA8" s="29">
        <v>6.684</v>
      </c>
      <c r="CB8" s="30">
        <v>20.23</v>
      </c>
      <c r="CC8" s="28">
        <v>7.335384615384616</v>
      </c>
      <c r="CD8" s="29">
        <v>10.266923076923076</v>
      </c>
      <c r="CE8" s="29">
        <v>14.352307692307694</v>
      </c>
      <c r="CF8" s="29">
        <v>13.41</v>
      </c>
      <c r="CG8" s="45">
        <v>0.19324999999999995</v>
      </c>
      <c r="CH8" s="45">
        <v>0.12870833333333334</v>
      </c>
      <c r="CI8" s="45">
        <v>0.007923076923076923</v>
      </c>
      <c r="CJ8" s="46">
        <v>0.01223076923076923</v>
      </c>
    </row>
    <row r="9" spans="1:88" ht="16.5" customHeight="1">
      <c r="A9" s="592"/>
      <c r="B9" s="3" t="s">
        <v>22</v>
      </c>
      <c r="C9" s="95">
        <f t="shared" si="8"/>
        <v>99602.42000000001</v>
      </c>
      <c r="D9" s="14">
        <v>25.666666666666668</v>
      </c>
      <c r="E9" s="14">
        <f t="shared" si="1"/>
        <v>15576.681</v>
      </c>
      <c r="F9" s="429">
        <f t="shared" si="9"/>
        <v>13627.630000000001</v>
      </c>
      <c r="G9" s="429">
        <f t="shared" si="10"/>
        <v>1949.051</v>
      </c>
      <c r="H9" s="14">
        <f t="shared" si="11"/>
        <v>3650</v>
      </c>
      <c r="I9" s="14">
        <f t="shared" si="11"/>
        <v>2251.23</v>
      </c>
      <c r="J9" s="14">
        <f t="shared" si="11"/>
        <v>1363.64</v>
      </c>
      <c r="K9" s="18">
        <f t="shared" si="11"/>
        <v>0</v>
      </c>
      <c r="L9" s="39">
        <f t="shared" si="12"/>
        <v>59707.200000000004</v>
      </c>
      <c r="M9" s="14">
        <v>58103.87</v>
      </c>
      <c r="N9" s="14">
        <v>1371.33</v>
      </c>
      <c r="O9" s="14">
        <v>232</v>
      </c>
      <c r="P9" s="14">
        <f t="shared" si="13"/>
        <v>20.410833333333333</v>
      </c>
      <c r="Q9" s="14">
        <f t="shared" si="18"/>
        <v>2925.2700771649047</v>
      </c>
      <c r="R9" s="14"/>
      <c r="S9" s="32">
        <v>942.761346153846</v>
      </c>
      <c r="T9" s="14">
        <v>48681</v>
      </c>
      <c r="U9" s="14">
        <v>380088</v>
      </c>
      <c r="V9" s="14">
        <v>4994</v>
      </c>
      <c r="W9" s="14">
        <v>62966</v>
      </c>
      <c r="X9" s="89">
        <v>3.3341666666666665</v>
      </c>
      <c r="Y9" s="95">
        <f t="shared" si="14"/>
        <v>38518.25</v>
      </c>
      <c r="Z9" s="32">
        <v>37374.09</v>
      </c>
      <c r="AA9" s="32">
        <v>893.16</v>
      </c>
      <c r="AB9" s="32">
        <v>251</v>
      </c>
      <c r="AC9" s="14">
        <f t="shared" si="3"/>
        <v>17.666666666666668</v>
      </c>
      <c r="AD9" s="14">
        <f t="shared" si="15"/>
        <v>2751.3035714285716</v>
      </c>
      <c r="AE9" s="32"/>
      <c r="AF9" s="32">
        <v>928.5</v>
      </c>
      <c r="AG9" s="32">
        <v>69143</v>
      </c>
      <c r="AH9" s="32">
        <v>337812</v>
      </c>
      <c r="AI9" s="32">
        <v>4873</v>
      </c>
      <c r="AJ9" s="32">
        <v>54609</v>
      </c>
      <c r="AK9" s="96">
        <v>2.4233333333333333</v>
      </c>
      <c r="AL9" s="39">
        <v>154741.78780000002</v>
      </c>
      <c r="AM9" s="14">
        <f t="shared" si="4"/>
        <v>84155.6</v>
      </c>
      <c r="AN9" s="14">
        <f>+AN22+AN35+AN61+AN74+AN87+AN100+AN113+AN126+AN139+AN152+AN165+AN178+AN191+AN204+AN217</f>
        <v>596745.44</v>
      </c>
      <c r="AO9" s="14">
        <f t="shared" si="5"/>
        <v>27132.75</v>
      </c>
      <c r="AP9" s="14">
        <v>3181.4930000000004</v>
      </c>
      <c r="AQ9" s="14">
        <v>2839.0029999999997</v>
      </c>
      <c r="AR9" s="14">
        <v>342.5</v>
      </c>
      <c r="AS9" s="14">
        <v>10924</v>
      </c>
      <c r="AT9" s="14">
        <v>269.53</v>
      </c>
      <c r="AU9" s="18">
        <f t="shared" si="6"/>
        <v>63437.6118</v>
      </c>
      <c r="AV9" s="36">
        <v>0.3132857142857143</v>
      </c>
      <c r="AW9" s="14">
        <v>1776.49</v>
      </c>
      <c r="AX9" s="22">
        <v>47.70178571428572</v>
      </c>
      <c r="AY9" s="22">
        <f t="shared" si="19"/>
        <v>41.82607142857143</v>
      </c>
      <c r="AZ9" s="22">
        <f t="shared" si="19"/>
        <v>10.436428571428573</v>
      </c>
      <c r="BA9" s="22">
        <f t="shared" si="19"/>
        <v>24.001071428571432</v>
      </c>
      <c r="BB9" s="22">
        <v>3.4825</v>
      </c>
      <c r="BC9" s="22">
        <v>19.774285714285714</v>
      </c>
      <c r="BD9" s="22">
        <v>42.22857142857142</v>
      </c>
      <c r="BE9" s="22">
        <v>6.20857142857143</v>
      </c>
      <c r="BF9" s="426">
        <v>4.011428571428572</v>
      </c>
      <c r="BG9" s="55">
        <v>0.28285714285714286</v>
      </c>
      <c r="BH9" s="39">
        <f>SUM(BH22+BH35+BH48+BH61+BH74+BH87+BH100+BH113+BH126+BH139+BH152+BH165+BH178+BH191+BH204+BH217)/13</f>
        <v>42661.218846153846</v>
      </c>
      <c r="BI9" s="14">
        <v>45091.833333333336</v>
      </c>
      <c r="BJ9" s="14"/>
      <c r="BK9" s="14">
        <f>SUM(BK22+BK35+BK48+BK61+BK74+BK87+BK100+BK113+BK126+BK139+BK152+BK165+BK178+BK191+BK204+BK217)/13</f>
        <v>181.27692307692308</v>
      </c>
      <c r="BL9" s="14">
        <v>182.6</v>
      </c>
      <c r="BM9" s="14"/>
      <c r="BN9" s="14">
        <f t="shared" si="7"/>
        <v>17622.75</v>
      </c>
      <c r="BO9" s="14">
        <f t="shared" si="16"/>
        <v>1546</v>
      </c>
      <c r="BP9" s="18">
        <f t="shared" si="17"/>
        <v>16076.749999999998</v>
      </c>
      <c r="BQ9" s="28">
        <f>SUM(BQ22+BQ35+BQ48+BQ61+BQ74+BQ87+BQ100+BQ113+BQ126+BQ139+BQ152+BQ165+BQ178+BQ191+BQ204+BQ217)/13</f>
        <v>9.903846153846157</v>
      </c>
      <c r="BR9" s="29">
        <v>7.04</v>
      </c>
      <c r="BS9" s="29">
        <v>34.95</v>
      </c>
      <c r="BT9" s="29">
        <f>SUM(BT22+BT35+BT48+BT61+BT74+BT87+BT100+BT113+BT126+BT139+BT152+BT165+BT178+BT191+BT204+BT217)/13</f>
        <v>39.31</v>
      </c>
      <c r="BU9" s="29">
        <v>39.374</v>
      </c>
      <c r="BV9" s="29">
        <v>24.27</v>
      </c>
      <c r="BW9" s="29">
        <f>SUM(BW22+BW35+BW48+BW61+BW74+BW87+BW100+BW113+BW126+BW139+BW152+BW165+BW178+BW191+BW204+BW217)/13</f>
        <v>5.019230769230769</v>
      </c>
      <c r="BX9" s="29">
        <v>6.618</v>
      </c>
      <c r="BY9" s="29">
        <v>20.79</v>
      </c>
      <c r="BZ9" s="29">
        <f>SUM(BZ22+BZ35+BZ48+BZ61+BZ74+BZ87+BZ100+BZ113+BZ126+BZ139+BZ152+BZ165+BZ178+BZ191+BZ204+BZ217)/13</f>
        <v>8.873846153846152</v>
      </c>
      <c r="CA9" s="29">
        <v>7.358</v>
      </c>
      <c r="CB9" s="30">
        <v>14.28</v>
      </c>
      <c r="CC9" s="28">
        <v>7.430357142857143</v>
      </c>
      <c r="CD9" s="29">
        <v>8.656785714285714</v>
      </c>
      <c r="CE9" s="29">
        <v>14.008571428571429</v>
      </c>
      <c r="CF9" s="29">
        <v>11.58357142857143</v>
      </c>
      <c r="CG9" s="45">
        <v>0.066</v>
      </c>
      <c r="CH9" s="45">
        <v>0.11784615384615385</v>
      </c>
      <c r="CI9" s="45">
        <v>0.0038</v>
      </c>
      <c r="CJ9" s="46">
        <v>0.007866666666666666</v>
      </c>
    </row>
    <row r="10" spans="1:88" ht="16.5" customHeight="1">
      <c r="A10" s="592"/>
      <c r="B10" s="3" t="s">
        <v>23</v>
      </c>
      <c r="C10" s="95">
        <f t="shared" si="8"/>
        <v>108481.63000000002</v>
      </c>
      <c r="D10" s="14">
        <v>25.933333333333334</v>
      </c>
      <c r="E10" s="14">
        <f t="shared" si="1"/>
        <v>17893.271999999997</v>
      </c>
      <c r="F10" s="429">
        <f t="shared" si="9"/>
        <v>15701.449999999999</v>
      </c>
      <c r="G10" s="429">
        <f t="shared" si="10"/>
        <v>2191.822</v>
      </c>
      <c r="H10" s="14">
        <f t="shared" si="11"/>
        <v>5757</v>
      </c>
      <c r="I10" s="14">
        <f t="shared" si="11"/>
        <v>3341.8899999999994</v>
      </c>
      <c r="J10" s="14">
        <f t="shared" si="11"/>
        <v>2093.62</v>
      </c>
      <c r="K10" s="18">
        <f t="shared" si="11"/>
        <v>330.47</v>
      </c>
      <c r="L10" s="39">
        <f t="shared" si="12"/>
        <v>66561.551</v>
      </c>
      <c r="M10" s="14">
        <v>64516.37100000001</v>
      </c>
      <c r="N10" s="14">
        <v>2020.18</v>
      </c>
      <c r="O10" s="14">
        <v>25</v>
      </c>
      <c r="P10" s="14">
        <f t="shared" si="13"/>
        <v>20.9140625</v>
      </c>
      <c r="Q10" s="14">
        <f t="shared" si="18"/>
        <v>3182.6217885692945</v>
      </c>
      <c r="R10" s="14"/>
      <c r="S10" s="32">
        <v>944.9692307692308</v>
      </c>
      <c r="T10" s="14">
        <v>42772.5</v>
      </c>
      <c r="U10" s="14">
        <v>471208.9</v>
      </c>
      <c r="V10" s="14">
        <v>17670</v>
      </c>
      <c r="W10" s="14">
        <v>24754</v>
      </c>
      <c r="X10" s="89">
        <v>3.615</v>
      </c>
      <c r="Y10" s="95">
        <f t="shared" si="14"/>
        <v>43323.71</v>
      </c>
      <c r="Z10" s="32">
        <v>41908.06</v>
      </c>
      <c r="AA10" s="32">
        <v>1215.65</v>
      </c>
      <c r="AB10" s="32">
        <v>200</v>
      </c>
      <c r="AC10" s="14">
        <f t="shared" si="3"/>
        <v>19.166666666666668</v>
      </c>
      <c r="AD10" s="14">
        <f t="shared" si="15"/>
        <v>3094.550714285714</v>
      </c>
      <c r="AE10" s="32"/>
      <c r="AF10" s="32">
        <v>936.5</v>
      </c>
      <c r="AG10" s="32">
        <v>34930</v>
      </c>
      <c r="AH10" s="32">
        <v>320938</v>
      </c>
      <c r="AI10" s="32">
        <v>14876</v>
      </c>
      <c r="AJ10" s="32">
        <v>46676</v>
      </c>
      <c r="AK10" s="96">
        <v>2.813333333333333</v>
      </c>
      <c r="AL10" s="39">
        <v>162950.55524000002</v>
      </c>
      <c r="AM10" s="14">
        <f t="shared" si="4"/>
        <v>85685.936</v>
      </c>
      <c r="AN10" s="14">
        <f aca="true" t="shared" si="20" ref="AN10:AN16">+AN23+AN36+AN62+AN75+AN88+AN101+AN114+AN127+AN140+AN153+AN166+AN179+AN192+AN205+AN218</f>
        <v>542905.6699999999</v>
      </c>
      <c r="AO10" s="14">
        <f t="shared" si="5"/>
        <v>39999.206</v>
      </c>
      <c r="AP10" s="14">
        <v>4690.997</v>
      </c>
      <c r="AQ10" s="14">
        <v>4105.637</v>
      </c>
      <c r="AR10" s="14">
        <v>585.5</v>
      </c>
      <c r="AS10" s="14">
        <v>20136</v>
      </c>
      <c r="AT10" s="14">
        <v>241.95</v>
      </c>
      <c r="AU10" s="18">
        <f t="shared" si="6"/>
        <v>74269.84124000001</v>
      </c>
      <c r="AV10" s="36">
        <v>0.33313333333333334</v>
      </c>
      <c r="AW10" s="14">
        <v>1736.1019999999999</v>
      </c>
      <c r="AX10" s="22">
        <v>50.89466666666666</v>
      </c>
      <c r="AY10" s="22">
        <f>SUM(AY23+AY36+AY49+AY62+AY75+AY88+AY101+AY114+AY127+AY140+AY153+AY166+AY179+AY192+AY205+AY218)/15</f>
        <v>39.70666666666667</v>
      </c>
      <c r="AZ10" s="22">
        <f>SUM(AZ23+AZ36+AZ49+AZ62+AZ75+AZ88+AZ101+AZ114+AZ127+AZ140+AZ153+AZ166+AZ179+AZ192+AZ205+AZ218)/15</f>
        <v>9.398666666666667</v>
      </c>
      <c r="BA10" s="22">
        <f>SUM(BA23+BA36+BA49+BA62+BA75+BA88+BA101+BA114+BA127+BA140+BA153+BA166+BA179+BA192+BA205+BA218)/15</f>
        <v>26.58733333333333</v>
      </c>
      <c r="BB10" s="22">
        <v>3.293333333333334</v>
      </c>
      <c r="BC10" s="22">
        <v>17.491333333333333</v>
      </c>
      <c r="BD10" s="22">
        <v>42.218666666666664</v>
      </c>
      <c r="BE10" s="22">
        <v>5.487333333333333</v>
      </c>
      <c r="BF10" s="426">
        <v>4.719333333333333</v>
      </c>
      <c r="BG10" s="55">
        <v>0.21066666666666667</v>
      </c>
      <c r="BH10" s="39">
        <f>SUM(BH23+BH36+BH49+BH62+BH75+BH88+BH101+BH114+BH127+BH140+BH153+BH166+BH179+BH192+BH205+BH218)/13</f>
        <v>41229.996142011834</v>
      </c>
      <c r="BI10" s="14">
        <v>47456</v>
      </c>
      <c r="BJ10" s="14"/>
      <c r="BK10" s="14">
        <f>SUM(BK23+BK36+BK49+BK62+BK75+BK88+BK101+BK114+BK127+BK140+BK153+BK166+BK179+BK192+BK205+BK218)/13</f>
        <v>182.5169230769231</v>
      </c>
      <c r="BL10" s="14">
        <v>185.11666666666667</v>
      </c>
      <c r="BM10" s="14"/>
      <c r="BN10" s="14">
        <f t="shared" si="7"/>
        <v>22134.780000000002</v>
      </c>
      <c r="BO10" s="14">
        <f t="shared" si="16"/>
        <v>1889</v>
      </c>
      <c r="BP10" s="18">
        <f t="shared" si="17"/>
        <v>20245.780000000002</v>
      </c>
      <c r="BQ10" s="28">
        <f>SUM(BQ23+BQ36+BQ49+BQ62+BQ75+BQ88+BQ101+BQ114+BQ127+BQ140+BQ153+BQ166+BQ179+BQ192+BQ205+BQ218)/13</f>
        <v>10.33</v>
      </c>
      <c r="BR10" s="29">
        <v>7.517142857142856</v>
      </c>
      <c r="BS10" s="29">
        <v>14.19</v>
      </c>
      <c r="BT10" s="29">
        <f>SUM(BT23+BT36+BT49+BT62+BT75+BT88+BT101+BT114+BT127+BT140+BT153+BT166+BT179+BT192+BT205+BT218)/13</f>
        <v>39.34076923076923</v>
      </c>
      <c r="BU10" s="29">
        <v>38.01714285714286</v>
      </c>
      <c r="BV10" s="29">
        <v>29.64</v>
      </c>
      <c r="BW10" s="29">
        <f>SUM(BW23+BW36+BW49+BW62+BW75+BW88+BW101+BW114+BW127+BW140+BW153+BW166+BW179+BW192+BW205+BW218)/13</f>
        <v>4.601538461538461</v>
      </c>
      <c r="BX10" s="29">
        <v>4.94</v>
      </c>
      <c r="BY10" s="29">
        <v>19.46</v>
      </c>
      <c r="BZ10" s="29">
        <f>SUM(BZ23+BZ36+BZ49+BZ62+BZ75+BZ88+BZ101+BZ114+BZ127+BZ140+BZ153+BZ166+BZ179+BZ192+BZ205+BZ218)/13</f>
        <v>7.2176923076923085</v>
      </c>
      <c r="CA10" s="29">
        <v>9.384285714285713</v>
      </c>
      <c r="CB10" s="30">
        <v>9.18</v>
      </c>
      <c r="CC10" s="28">
        <v>7.534642857142857</v>
      </c>
      <c r="CD10" s="29">
        <v>8.180714285714286</v>
      </c>
      <c r="CE10" s="29">
        <v>13.892857142857142</v>
      </c>
      <c r="CF10" s="29">
        <v>13.835714285714287</v>
      </c>
      <c r="CG10" s="45">
        <v>0.07692307692307693</v>
      </c>
      <c r="CH10" s="45">
        <v>0.08184615384615383</v>
      </c>
      <c r="CI10" s="45">
        <v>0.004230769230769231</v>
      </c>
      <c r="CJ10" s="46">
        <v>0.016615384615384615</v>
      </c>
    </row>
    <row r="11" spans="1:88" ht="16.5" customHeight="1">
      <c r="A11" s="592"/>
      <c r="B11" s="3" t="s">
        <v>24</v>
      </c>
      <c r="C11" s="95">
        <f t="shared" si="8"/>
        <v>103417.90999999999</v>
      </c>
      <c r="D11" s="14">
        <v>24.666666666666668</v>
      </c>
      <c r="E11" s="14">
        <f t="shared" si="1"/>
        <v>16240.743</v>
      </c>
      <c r="F11" s="429">
        <f t="shared" si="9"/>
        <v>14459.26</v>
      </c>
      <c r="G11" s="429">
        <f t="shared" si="10"/>
        <v>1781.4830000000002</v>
      </c>
      <c r="H11" s="14">
        <f t="shared" si="11"/>
        <v>6731</v>
      </c>
      <c r="I11" s="14">
        <f t="shared" si="11"/>
        <v>2983.7000000000003</v>
      </c>
      <c r="J11" s="14">
        <f t="shared" si="11"/>
        <v>3228.5899999999997</v>
      </c>
      <c r="K11" s="18">
        <f t="shared" si="11"/>
        <v>513.7</v>
      </c>
      <c r="L11" s="39">
        <f t="shared" si="12"/>
        <v>56825.62500000001</v>
      </c>
      <c r="M11" s="14">
        <v>54426.55500000001</v>
      </c>
      <c r="N11" s="14">
        <v>1978.07</v>
      </c>
      <c r="O11" s="14">
        <v>421</v>
      </c>
      <c r="P11" s="14">
        <f t="shared" si="13"/>
        <v>19.0778125</v>
      </c>
      <c r="Q11" s="14">
        <f t="shared" si="18"/>
        <v>2978.6237284804015</v>
      </c>
      <c r="R11" s="14"/>
      <c r="S11" s="32">
        <v>930.1557142857143</v>
      </c>
      <c r="T11" s="14">
        <v>95528.6</v>
      </c>
      <c r="U11" s="14">
        <v>377127</v>
      </c>
      <c r="V11" s="14">
        <v>34161</v>
      </c>
      <c r="W11" s="14">
        <v>39215</v>
      </c>
      <c r="X11" s="89">
        <v>3.5716666666666668</v>
      </c>
      <c r="Y11" s="95">
        <f t="shared" si="14"/>
        <v>42334.05</v>
      </c>
      <c r="Z11" s="32">
        <v>41058.67</v>
      </c>
      <c r="AA11" s="32">
        <v>1233.38</v>
      </c>
      <c r="AB11" s="32">
        <v>42</v>
      </c>
      <c r="AC11" s="14">
        <f t="shared" si="3"/>
        <v>17.044444444444444</v>
      </c>
      <c r="AD11" s="14">
        <f t="shared" si="15"/>
        <v>3023.8607142857145</v>
      </c>
      <c r="AE11" s="32"/>
      <c r="AF11" s="32">
        <v>930.1666666666666</v>
      </c>
      <c r="AG11" s="32">
        <v>37237</v>
      </c>
      <c r="AH11" s="32">
        <v>490389</v>
      </c>
      <c r="AI11" s="32">
        <v>4398</v>
      </c>
      <c r="AJ11" s="32">
        <v>6042</v>
      </c>
      <c r="AK11" s="96">
        <v>2.8433333333333333</v>
      </c>
      <c r="AL11" s="39">
        <v>143414.701</v>
      </c>
      <c r="AM11" s="14">
        <f t="shared" si="4"/>
        <v>63464.744000000006</v>
      </c>
      <c r="AN11" s="14">
        <f t="shared" si="20"/>
        <v>343640.63</v>
      </c>
      <c r="AO11" s="14">
        <f t="shared" si="5"/>
        <v>43524.8</v>
      </c>
      <c r="AP11" s="14">
        <v>4437.614</v>
      </c>
      <c r="AQ11" s="14">
        <v>3853.094</v>
      </c>
      <c r="AR11" s="14">
        <v>584.7</v>
      </c>
      <c r="AS11" s="14">
        <v>23346</v>
      </c>
      <c r="AT11" s="14">
        <v>140.34</v>
      </c>
      <c r="AU11" s="18">
        <f t="shared" si="6"/>
        <v>72425.919</v>
      </c>
      <c r="AV11" s="36">
        <v>0.31653846153846155</v>
      </c>
      <c r="AW11" s="14">
        <v>1713.616923076923</v>
      </c>
      <c r="AX11" s="22">
        <v>51.604615384615386</v>
      </c>
      <c r="AY11" s="22">
        <f>SUM(AY24+AY37+AY50+AY63+AY76+AY89+AY102+AY115+AY128+AY141+AY154+AY167+AY180+AY193+AY206+AY219)/13</f>
        <v>38.700769230769225</v>
      </c>
      <c r="AZ11" s="22">
        <f>SUM(AZ24+AZ37+AZ50+AZ63+AZ76+AZ89+AZ102+AZ115+AZ128+AZ141+AZ154+AZ167+AZ180+AZ193+AZ206+AZ219)/13</f>
        <v>9.779230769230768</v>
      </c>
      <c r="BA11" s="22">
        <f>SUM(BA24+BA37+BA50+BA63+BA76+BA89+BA102+BA115+BA128+BA141+BA154+BA167+BA180+BA193+BA206+BA219)/13</f>
        <v>26.11</v>
      </c>
      <c r="BB11" s="22">
        <v>3.4215384615384616</v>
      </c>
      <c r="BC11" s="22">
        <v>21.01384615384616</v>
      </c>
      <c r="BD11" s="22">
        <v>40.08307692307692</v>
      </c>
      <c r="BE11" s="22">
        <v>4.314615384615385</v>
      </c>
      <c r="BF11" s="426">
        <v>4.996153846153846</v>
      </c>
      <c r="BG11" s="55">
        <v>0.07461538461538461</v>
      </c>
      <c r="BH11" s="39">
        <f>SUM(BH24+BH37+BH50+BH63+BH76+BH89+BH102+BH115+BH128+BH141+BH154+BH167+BH180+BH193+BH206+BH219)/13</f>
        <v>37702.793003663006</v>
      </c>
      <c r="BI11" s="14">
        <v>49966</v>
      </c>
      <c r="BJ11" s="14"/>
      <c r="BK11" s="14">
        <f>SUM(BK24+BK37+BK50+BK63+BK76+BK89+BK102+BK115+BK128+BK141+BK154+BK167+BK180+BK193+BK206+BK219)/13</f>
        <v>182.2430769230769</v>
      </c>
      <c r="BL11" s="14">
        <v>184.3</v>
      </c>
      <c r="BM11" s="14"/>
      <c r="BN11" s="14">
        <f t="shared" si="7"/>
        <v>20204.270000000004</v>
      </c>
      <c r="BO11" s="14">
        <f t="shared" si="16"/>
        <v>1557</v>
      </c>
      <c r="BP11" s="18">
        <f t="shared" si="17"/>
        <v>18647.27</v>
      </c>
      <c r="BQ11" s="28">
        <f>SUM(BQ24+BQ37+BQ50+BQ63+BQ76+BQ89+BQ102+BQ115+BQ128+BQ141+BQ154+BQ167+BQ180+BQ193+BQ206+BQ219)/13</f>
        <v>10.42153846153846</v>
      </c>
      <c r="BR11" s="29">
        <v>8.648333333333333</v>
      </c>
      <c r="BS11" s="29">
        <v>15.11</v>
      </c>
      <c r="BT11" s="29">
        <f>SUM(BT24+BT37+BT50+BT63+BT76+BT89+BT102+BT115+BT128+BT141+BT154+BT167+BT180+BT193+BT206+BT219)/13</f>
        <v>36.93692307692307</v>
      </c>
      <c r="BU11" s="29">
        <v>36.48</v>
      </c>
      <c r="BV11" s="29">
        <v>26.39</v>
      </c>
      <c r="BW11" s="29">
        <f>SUM(BW24+BW37+BW50+BW63+BW76+BW89+BW102+BW115+BW128+BW141+BW154+BW167+BW180+BW193+BW206+BW219)/13</f>
        <v>3.5900000000000003</v>
      </c>
      <c r="BX11" s="29">
        <v>4.321666666666666</v>
      </c>
      <c r="BY11" s="29">
        <v>18.3</v>
      </c>
      <c r="BZ11" s="29">
        <f>SUM(BZ24+BZ37+BZ50+BZ63+BZ76+BZ89+BZ102+BZ115+BZ128+BZ141+BZ154+BZ167+BZ180+BZ193+BZ206+BZ219)/13</f>
        <v>6.083846153846153</v>
      </c>
      <c r="CA11" s="29">
        <v>11.055</v>
      </c>
      <c r="CB11" s="30">
        <v>8.89</v>
      </c>
      <c r="CC11" s="28">
        <v>7.450714285714286</v>
      </c>
      <c r="CD11" s="29">
        <v>10.475</v>
      </c>
      <c r="CE11" s="29">
        <v>16.23642857142857</v>
      </c>
      <c r="CF11" s="29">
        <v>11.64642857142857</v>
      </c>
      <c r="CG11" s="45">
        <v>0.05853846153846154</v>
      </c>
      <c r="CH11" s="45">
        <v>0.07130769230769231</v>
      </c>
      <c r="CI11" s="45">
        <v>0.0038461538461538464</v>
      </c>
      <c r="CJ11" s="46">
        <v>0.011615384615384614</v>
      </c>
    </row>
    <row r="12" spans="1:88" ht="16.5" customHeight="1">
      <c r="A12" s="592"/>
      <c r="B12" s="3" t="s">
        <v>25</v>
      </c>
      <c r="C12" s="95">
        <f t="shared" si="8"/>
        <v>119327.72</v>
      </c>
      <c r="D12" s="14">
        <v>25.375</v>
      </c>
      <c r="E12" s="14">
        <f t="shared" si="1"/>
        <v>17647.69</v>
      </c>
      <c r="F12" s="429">
        <f t="shared" si="9"/>
        <v>15609.91</v>
      </c>
      <c r="G12" s="429">
        <f t="shared" si="10"/>
        <v>2037.7800000000002</v>
      </c>
      <c r="H12" s="14">
        <f t="shared" si="11"/>
        <v>9718</v>
      </c>
      <c r="I12" s="14">
        <f t="shared" si="11"/>
        <v>4998.4</v>
      </c>
      <c r="J12" s="14">
        <f t="shared" si="11"/>
        <v>3900.7999999999997</v>
      </c>
      <c r="K12" s="18">
        <f t="shared" si="11"/>
        <v>498.46</v>
      </c>
      <c r="L12" s="39">
        <f t="shared" si="12"/>
        <v>80209.455</v>
      </c>
      <c r="M12" s="14">
        <v>76433.16500000001</v>
      </c>
      <c r="N12" s="14">
        <v>3406.29</v>
      </c>
      <c r="O12" s="14">
        <v>370</v>
      </c>
      <c r="P12" s="14">
        <f t="shared" si="13"/>
        <v>25.820833333333333</v>
      </c>
      <c r="Q12" s="14">
        <f t="shared" si="18"/>
        <v>3106.3852186541876</v>
      </c>
      <c r="R12" s="14"/>
      <c r="S12" s="32">
        <v>924.6533333333333</v>
      </c>
      <c r="T12" s="14">
        <v>88060.6</v>
      </c>
      <c r="U12" s="14">
        <v>625003</v>
      </c>
      <c r="V12" s="14">
        <v>34925</v>
      </c>
      <c r="W12" s="14">
        <v>50089</v>
      </c>
      <c r="X12" s="89">
        <v>3.4223809523809514</v>
      </c>
      <c r="Y12" s="95">
        <f t="shared" si="14"/>
        <v>38562.06</v>
      </c>
      <c r="Z12" s="32">
        <v>36734.06</v>
      </c>
      <c r="AA12" s="32">
        <v>1723</v>
      </c>
      <c r="AB12" s="32">
        <v>105</v>
      </c>
      <c r="AC12" s="14">
        <f t="shared" si="3"/>
        <v>20.77777777777778</v>
      </c>
      <c r="AD12" s="14">
        <f t="shared" si="15"/>
        <v>2754.432857142857</v>
      </c>
      <c r="AE12" s="32"/>
      <c r="AF12" s="32">
        <v>909.6188311688311</v>
      </c>
      <c r="AG12" s="32">
        <v>81104</v>
      </c>
      <c r="AH12" s="32">
        <v>323865</v>
      </c>
      <c r="AI12" s="32">
        <v>19783</v>
      </c>
      <c r="AJ12" s="32">
        <v>24403</v>
      </c>
      <c r="AK12" s="96">
        <v>2.8791666666666664</v>
      </c>
      <c r="AL12" s="39">
        <v>159356.786</v>
      </c>
      <c r="AM12" s="14">
        <f t="shared" si="4"/>
        <v>72806.956</v>
      </c>
      <c r="AN12" s="14">
        <f t="shared" si="20"/>
        <v>467781.73</v>
      </c>
      <c r="AO12" s="14">
        <f t="shared" si="5"/>
        <v>52537.57</v>
      </c>
      <c r="AP12" s="14">
        <v>5936.412</v>
      </c>
      <c r="AQ12" s="14">
        <v>5307.342</v>
      </c>
      <c r="AR12" s="14">
        <v>629.1</v>
      </c>
      <c r="AS12" s="14">
        <v>28665</v>
      </c>
      <c r="AT12" s="14">
        <v>40.65</v>
      </c>
      <c r="AU12" s="18">
        <f t="shared" si="6"/>
        <v>70472.36</v>
      </c>
      <c r="AV12" s="36">
        <v>0.3703333333333333</v>
      </c>
      <c r="AW12" s="14">
        <v>1484.2613333333331</v>
      </c>
      <c r="AX12" s="22">
        <v>55.96533333333334</v>
      </c>
      <c r="AY12" s="22">
        <f>SUM(AY25+AY38+AY51+AY64+AY77+AY90+AY103+AY116+AY129+AY142+AY155+AY168+AY181+AY194+AY207+AY220)/15</f>
        <v>35.64266666666666</v>
      </c>
      <c r="AZ12" s="22">
        <f>SUM(AZ25+AZ38+AZ51+AZ64+AZ77+AZ90+AZ103+AZ116+AZ129+AZ142+AZ155+AZ168+AZ181+AZ194+AZ207+AZ220)/15</f>
        <v>8.392666666666667</v>
      </c>
      <c r="BA12" s="22">
        <f>SUM(BA25+BA38+BA51+BA64+BA77+BA90+BA103+BA116+BA129+BA142+BA155+BA168+BA181+BA194+BA207+BA220)/15</f>
        <v>25.006666666666664</v>
      </c>
      <c r="BB12" s="22">
        <v>2.7093333333333334</v>
      </c>
      <c r="BC12" s="22">
        <v>20.618666666666673</v>
      </c>
      <c r="BD12" s="22">
        <v>41.48666666666667</v>
      </c>
      <c r="BE12" s="22">
        <v>4.799333333333334</v>
      </c>
      <c r="BF12" s="426">
        <v>5.227333333333333</v>
      </c>
      <c r="BG12" s="55">
        <v>0.152</v>
      </c>
      <c r="BH12" s="39">
        <f>SUM(BH25+BH38+BH51+BH64+BH77+BH90+BH103+BH116+BH129+BH142+BH155+BH168+BH181+BH194+BH207+BH220)/15</f>
        <v>42640.504222222226</v>
      </c>
      <c r="BI12" s="14">
        <v>44025.111428571436</v>
      </c>
      <c r="BJ12" s="14"/>
      <c r="BK12" s="14">
        <f>SUM(BK25+BK38+BK51+BK64+BK77+BK90+BK103+BK116+BK129+BK142+BK155+BK168+BK181+BK194+BK207+BK220)/15</f>
        <v>182.93333333333334</v>
      </c>
      <c r="BL12" s="14">
        <v>178.36666666666665</v>
      </c>
      <c r="BM12" s="14"/>
      <c r="BN12" s="14">
        <f t="shared" si="7"/>
        <v>26060.44</v>
      </c>
      <c r="BO12" s="14">
        <f t="shared" si="16"/>
        <v>2028.1</v>
      </c>
      <c r="BP12" s="18">
        <f t="shared" si="17"/>
        <v>24032.34</v>
      </c>
      <c r="BQ12" s="28">
        <f>SUM(BQ25+BQ38+BQ51+BQ64+BQ77+BQ90+BQ103+BQ116+BQ129+BQ142+BQ155+BQ168+BQ181+BQ194+BQ207+BQ220)/15</f>
        <v>8.992</v>
      </c>
      <c r="BR12" s="29">
        <v>6.8</v>
      </c>
      <c r="BS12" s="29"/>
      <c r="BT12" s="29">
        <f>SUM(BT25+BT38+BT51+BT64+BT77+BT90+BT103+BT116+BT129+BT142+BT155+BT168+BT181+BT194+BT207+BT220)/15</f>
        <v>39.29288888888889</v>
      </c>
      <c r="BU12" s="29">
        <v>37.788333333333334</v>
      </c>
      <c r="BV12" s="29"/>
      <c r="BW12" s="29">
        <f>SUM(BW25+BW38+BW51+BW64+BW77+BW90+BW103+BW116+BW129+BW142+BW155+BW168+BW181+BW194+BW207+BW220)/15</f>
        <v>3.530222222222222</v>
      </c>
      <c r="BX12" s="29">
        <v>4.35125</v>
      </c>
      <c r="BY12" s="29"/>
      <c r="BZ12" s="29">
        <f>SUM(BZ25+BZ38+BZ51+BZ64+BZ77+BZ90+BZ103+BZ116+BZ129+BZ142+BZ155+BZ168+BZ181+BZ194+BZ207+BZ220)/15</f>
        <v>7.328888888888888</v>
      </c>
      <c r="CA12" s="29">
        <v>9.164166666666667</v>
      </c>
      <c r="CB12" s="30"/>
      <c r="CC12" s="28">
        <v>7.5373333333333346</v>
      </c>
      <c r="CD12" s="29">
        <v>10.443999999999999</v>
      </c>
      <c r="CE12" s="29">
        <v>15.920666666666667</v>
      </c>
      <c r="CF12" s="29">
        <v>12.830666666666668</v>
      </c>
      <c r="CG12" s="45">
        <v>0.08206666666666668</v>
      </c>
      <c r="CH12" s="45">
        <v>0.1096</v>
      </c>
      <c r="CI12" s="60">
        <v>0.006533333333333333</v>
      </c>
      <c r="CJ12" s="46">
        <v>0.007066666666666667</v>
      </c>
    </row>
    <row r="13" spans="1:88" ht="16.5" customHeight="1">
      <c r="A13" s="592"/>
      <c r="B13" s="3" t="s">
        <v>26</v>
      </c>
      <c r="C13" s="95">
        <f t="shared" si="8"/>
        <v>131709.9</v>
      </c>
      <c r="D13" s="14">
        <v>27.1875</v>
      </c>
      <c r="E13" s="14">
        <f t="shared" si="1"/>
        <v>18899.076</v>
      </c>
      <c r="F13" s="429">
        <f t="shared" si="9"/>
        <v>16589.21</v>
      </c>
      <c r="G13" s="429">
        <f t="shared" si="10"/>
        <v>2309.866</v>
      </c>
      <c r="H13" s="14">
        <f t="shared" si="11"/>
        <v>11090</v>
      </c>
      <c r="I13" s="14">
        <f t="shared" si="11"/>
        <v>5525.88</v>
      </c>
      <c r="J13" s="14">
        <f t="shared" si="11"/>
        <v>5140.56</v>
      </c>
      <c r="K13" s="18">
        <f t="shared" si="11"/>
        <v>383.4</v>
      </c>
      <c r="L13" s="39">
        <f t="shared" si="12"/>
        <v>77067.8</v>
      </c>
      <c r="M13" s="14">
        <v>73566.6</v>
      </c>
      <c r="N13" s="14">
        <v>3200.2</v>
      </c>
      <c r="O13" s="14">
        <v>301</v>
      </c>
      <c r="P13" s="14">
        <f t="shared" si="13"/>
        <v>24.8703125</v>
      </c>
      <c r="Q13" s="14">
        <f t="shared" si="18"/>
        <v>3098.7869573412077</v>
      </c>
      <c r="R13" s="14"/>
      <c r="S13" s="32">
        <v>924.8919999999999</v>
      </c>
      <c r="T13" s="14">
        <v>105221.5</v>
      </c>
      <c r="U13" s="14">
        <v>527507.7</v>
      </c>
      <c r="V13" s="14">
        <v>27359</v>
      </c>
      <c r="W13" s="14">
        <v>55531</v>
      </c>
      <c r="X13" s="89">
        <v>3.601428571428571</v>
      </c>
      <c r="Y13" s="95">
        <f t="shared" si="14"/>
        <v>44759.740000000005</v>
      </c>
      <c r="Z13" s="32">
        <v>42117.38</v>
      </c>
      <c r="AA13" s="32">
        <v>2322.36</v>
      </c>
      <c r="AB13" s="32">
        <v>320</v>
      </c>
      <c r="AC13" s="14">
        <f t="shared" si="3"/>
        <v>22.044444444444444</v>
      </c>
      <c r="AD13" s="14">
        <f t="shared" si="15"/>
        <v>3197.124285714286</v>
      </c>
      <c r="AE13" s="32"/>
      <c r="AF13" s="32">
        <v>920.6875</v>
      </c>
      <c r="AG13" s="32">
        <v>45271</v>
      </c>
      <c r="AH13" s="32">
        <v>314582</v>
      </c>
      <c r="AI13" s="32">
        <v>32172</v>
      </c>
      <c r="AJ13" s="32">
        <v>58616</v>
      </c>
      <c r="AK13" s="96">
        <v>2.72</v>
      </c>
      <c r="AL13" s="39">
        <v>162603.733</v>
      </c>
      <c r="AM13" s="14">
        <v>66922.44399999999</v>
      </c>
      <c r="AN13" s="14">
        <f t="shared" si="20"/>
        <v>415040.065</v>
      </c>
      <c r="AO13" s="14">
        <f t="shared" si="5"/>
        <v>51737.188</v>
      </c>
      <c r="AP13" s="14">
        <v>5097.198</v>
      </c>
      <c r="AQ13" s="14">
        <v>4513.048</v>
      </c>
      <c r="AR13" s="14">
        <v>583.9</v>
      </c>
      <c r="AS13" s="14">
        <v>29070</v>
      </c>
      <c r="AT13" s="14">
        <v>157.14</v>
      </c>
      <c r="AU13" s="18">
        <f t="shared" si="6"/>
        <v>78936.813</v>
      </c>
      <c r="AV13" s="36">
        <v>0.3491875</v>
      </c>
      <c r="AW13" s="14">
        <v>1572.446875</v>
      </c>
      <c r="AX13" s="22">
        <v>54.529375</v>
      </c>
      <c r="AY13" s="22">
        <f aca="true" t="shared" si="21" ref="AY13:BA17">SUM(AY26+AY39+AY52+AY65+AY78+AY91+AY104+AY117+AY130+AY143+AY156+AY169+AY182+AY195+AY208+AY221)/16</f>
        <v>35.96500000000001</v>
      </c>
      <c r="AZ13" s="22">
        <f t="shared" si="21"/>
        <v>9.455625</v>
      </c>
      <c r="BA13" s="22">
        <f t="shared" si="21"/>
        <v>23.621875</v>
      </c>
      <c r="BB13" s="22">
        <v>3.304375</v>
      </c>
      <c r="BC13" s="22">
        <v>19.601875</v>
      </c>
      <c r="BD13" s="22">
        <v>43.3225</v>
      </c>
      <c r="BE13" s="22">
        <v>5.0625</v>
      </c>
      <c r="BF13" s="426">
        <v>4.88375</v>
      </c>
      <c r="BG13" s="55">
        <v>0.215</v>
      </c>
      <c r="BH13" s="39">
        <f>SUM(BH26+BH39+BH52+BH65+BH78+BH91+BH104+BH117+BH130+BH143+BH156+BH169+BH182+BH195+BH208+BH221)/15</f>
        <v>42627.049222988506</v>
      </c>
      <c r="BI13" s="14">
        <v>42659.9303125</v>
      </c>
      <c r="BJ13" s="14"/>
      <c r="BK13" s="14">
        <f>SUM(BK26+BK39+BK52+BK65+BK78+BK91+BK104+BK117+BK130+BK143+BK156+BK169+BK182+BK195+BK208+BK221)/15</f>
        <v>181.732</v>
      </c>
      <c r="BL13" s="14">
        <v>180.19285714285712</v>
      </c>
      <c r="BM13" s="14"/>
      <c r="BN13" s="14">
        <f t="shared" si="7"/>
        <v>26823.46</v>
      </c>
      <c r="BO13" s="14">
        <f t="shared" si="16"/>
        <v>2132.3</v>
      </c>
      <c r="BP13" s="18">
        <f t="shared" si="17"/>
        <v>24691.16</v>
      </c>
      <c r="BQ13" s="28">
        <f>SUM(BQ26+BQ39+BQ52+BQ65+BQ78+BQ91+BQ104+BQ117+BQ130+BQ143+BQ156+BQ169+BQ182+BQ195+BQ208+BQ221)/15</f>
        <v>9.175999999999998</v>
      </c>
      <c r="BR13" s="29">
        <v>7.9875</v>
      </c>
      <c r="BS13" s="29">
        <v>8.94</v>
      </c>
      <c r="BT13" s="29">
        <f>SUM(BT26+BT39+BT52+BT65+BT78+BT91+BT104+BT117+BT130+BT143+BT156+BT169+BT182+BT195+BT208+BT221)/15</f>
        <v>37.868</v>
      </c>
      <c r="BU13" s="29">
        <v>32.325</v>
      </c>
      <c r="BV13" s="29">
        <v>20.11</v>
      </c>
      <c r="BW13" s="29">
        <f>SUM(BW26+BW39+BW52+BW65+BW78+BW91+BW104+BW117+BW130+BW143+BW156+BW169+BW182+BW195+BW208+BW221)/15</f>
        <v>4.956</v>
      </c>
      <c r="BX13" s="29">
        <v>5.7275</v>
      </c>
      <c r="BY13" s="29">
        <v>17.45</v>
      </c>
      <c r="BZ13" s="29">
        <f>SUM(BZ26+BZ39+BZ52+BZ65+BZ78+BZ91+BZ104+BZ117+BZ130+BZ143+BZ156+BZ169+BZ182+BZ195+BZ208+BZ221)/15</f>
        <v>8.326</v>
      </c>
      <c r="CA13" s="29">
        <v>9.13875</v>
      </c>
      <c r="CB13" s="30">
        <v>12.81</v>
      </c>
      <c r="CC13" s="28">
        <v>7.588125</v>
      </c>
      <c r="CD13" s="29">
        <v>14.17875</v>
      </c>
      <c r="CE13" s="29">
        <v>18.86125</v>
      </c>
      <c r="CF13" s="29">
        <v>13.555625</v>
      </c>
      <c r="CG13" s="45">
        <v>0.0476875</v>
      </c>
      <c r="CH13" s="60">
        <v>0.1076875</v>
      </c>
      <c r="CI13" s="60">
        <v>0.004875</v>
      </c>
      <c r="CJ13" s="46">
        <v>0.0334375</v>
      </c>
    </row>
    <row r="14" spans="1:88" ht="16.5" customHeight="1">
      <c r="A14" s="592"/>
      <c r="B14" s="3" t="s">
        <v>27</v>
      </c>
      <c r="C14" s="95">
        <f t="shared" si="8"/>
        <v>122808.65000000001</v>
      </c>
      <c r="D14" s="14">
        <v>26.125</v>
      </c>
      <c r="E14" s="14">
        <f t="shared" si="1"/>
        <v>17780.05</v>
      </c>
      <c r="F14" s="429">
        <f t="shared" si="9"/>
        <v>15507.18</v>
      </c>
      <c r="G14" s="429">
        <f t="shared" si="10"/>
        <v>2272.87</v>
      </c>
      <c r="H14" s="14">
        <f t="shared" si="11"/>
        <v>8268</v>
      </c>
      <c r="I14" s="14">
        <f t="shared" si="11"/>
        <v>5097.17</v>
      </c>
      <c r="J14" s="14">
        <f t="shared" si="11"/>
        <v>2836.63</v>
      </c>
      <c r="K14" s="18">
        <f t="shared" si="11"/>
        <v>561.7</v>
      </c>
      <c r="L14" s="39">
        <f t="shared" si="12"/>
        <v>78810.95999999999</v>
      </c>
      <c r="M14" s="14">
        <v>75354.67</v>
      </c>
      <c r="N14" s="14">
        <v>3156.29</v>
      </c>
      <c r="O14" s="14">
        <v>300</v>
      </c>
      <c r="P14" s="14">
        <f t="shared" si="13"/>
        <v>25.433125000000004</v>
      </c>
      <c r="Q14" s="14">
        <f t="shared" si="18"/>
        <v>3098.7525127171743</v>
      </c>
      <c r="R14" s="14"/>
      <c r="S14" s="32">
        <v>918.755625</v>
      </c>
      <c r="T14" s="14">
        <v>119334.7</v>
      </c>
      <c r="U14" s="14">
        <v>589791.3</v>
      </c>
      <c r="V14" s="14">
        <v>53184</v>
      </c>
      <c r="W14" s="14">
        <v>86773</v>
      </c>
      <c r="X14" s="89">
        <v>3.318571428571429</v>
      </c>
      <c r="Y14" s="95">
        <f t="shared" si="14"/>
        <v>41517.43</v>
      </c>
      <c r="Z14" s="32">
        <v>39130.76</v>
      </c>
      <c r="AA14" s="32">
        <v>2102.67</v>
      </c>
      <c r="AB14" s="32">
        <v>284</v>
      </c>
      <c r="AC14" s="14">
        <f t="shared" si="3"/>
        <v>20.200000000000003</v>
      </c>
      <c r="AD14" s="14">
        <f t="shared" si="15"/>
        <v>2965.530714285714</v>
      </c>
      <c r="AE14" s="32"/>
      <c r="AF14" s="32">
        <v>931.625</v>
      </c>
      <c r="AG14" s="32">
        <v>76578</v>
      </c>
      <c r="AH14" s="32">
        <v>267246</v>
      </c>
      <c r="AI14" s="32">
        <v>34516</v>
      </c>
      <c r="AJ14" s="32">
        <v>53478</v>
      </c>
      <c r="AK14" s="96">
        <v>2.86</v>
      </c>
      <c r="AL14" s="39">
        <v>171442.9743</v>
      </c>
      <c r="AM14" s="14">
        <f>+AM27+AM40+AM53+AM66+AM79+AM92+AM105+AM118+AM131+AM144+AM157+AM170+AM183+AM196+AM209+AM222</f>
        <v>76669.504</v>
      </c>
      <c r="AN14" s="14">
        <f t="shared" si="20"/>
        <v>463905.555</v>
      </c>
      <c r="AO14" s="14">
        <f t="shared" si="5"/>
        <v>46448.270000000004</v>
      </c>
      <c r="AP14" s="14">
        <v>4524.626</v>
      </c>
      <c r="AQ14" s="14">
        <v>3984.926</v>
      </c>
      <c r="AR14" s="14">
        <v>539.7</v>
      </c>
      <c r="AS14" s="14">
        <v>19689</v>
      </c>
      <c r="AT14" s="14">
        <v>150.42</v>
      </c>
      <c r="AU14" s="18">
        <f t="shared" si="6"/>
        <v>81236.6763</v>
      </c>
      <c r="AV14" s="36">
        <v>0.3379375</v>
      </c>
      <c r="AW14" s="14">
        <v>1678.4625</v>
      </c>
      <c r="AX14" s="22">
        <v>51.26875</v>
      </c>
      <c r="AY14" s="22">
        <f t="shared" si="21"/>
        <v>39.46437500000001</v>
      </c>
      <c r="AZ14" s="22">
        <f t="shared" si="21"/>
        <v>9.283750000000001</v>
      </c>
      <c r="BA14" s="22">
        <f t="shared" si="21"/>
        <v>24.002499999999998</v>
      </c>
      <c r="BB14" s="22">
        <v>3.449375</v>
      </c>
      <c r="BC14" s="22">
        <v>20.685</v>
      </c>
      <c r="BD14" s="22">
        <v>41.91625</v>
      </c>
      <c r="BE14" s="22">
        <v>5.215625</v>
      </c>
      <c r="BF14" s="426">
        <v>4.6175</v>
      </c>
      <c r="BG14" s="55">
        <v>0.195</v>
      </c>
      <c r="BH14" s="39">
        <f>SUM(BH27+BH40+BH53+BH66+BH79+BH92+BH105+BH118+BH131+BH144+BH157+BH170+BH183+BH196+BH209+BH222)/16</f>
        <v>42110.171875</v>
      </c>
      <c r="BI14" s="14">
        <v>49943.52875</v>
      </c>
      <c r="BJ14" s="14"/>
      <c r="BK14" s="14">
        <f>SUM(BK27+BK40+BK53+BK66+BK79+BK92+BK105+BK118+BK131+BK144+BK157+BK170+BK183+BK196+BK209+BK222)/16</f>
        <v>182.49041666666668</v>
      </c>
      <c r="BL14" s="14">
        <v>182.12142857142857</v>
      </c>
      <c r="BM14" s="14"/>
      <c r="BN14" s="14">
        <f t="shared" si="7"/>
        <v>23676.140000000003</v>
      </c>
      <c r="BO14" s="14">
        <f t="shared" si="16"/>
        <v>1903.5</v>
      </c>
      <c r="BP14" s="18">
        <f t="shared" si="17"/>
        <v>21772.64</v>
      </c>
      <c r="BQ14" s="28">
        <f>SUM(BQ27+BQ40+BQ53+BQ66+BQ79+BQ92+BQ105+BQ118+BQ131+BQ144+BQ157+BQ170+BQ183+BQ196+BQ209+BQ222)/16</f>
        <v>9.097083333333336</v>
      </c>
      <c r="BR14" s="29">
        <v>9.2871875</v>
      </c>
      <c r="BS14" s="29">
        <v>33.28</v>
      </c>
      <c r="BT14" s="29">
        <f>SUM(BT27+BT40+BT53+BT66+BT79+BT92+BT105+BT118+BT131+BT144+BT157+BT170+BT183+BT196+BT209+BT222)/16</f>
        <v>36.592708333333334</v>
      </c>
      <c r="BU14" s="29">
        <v>32.31375</v>
      </c>
      <c r="BV14" s="29">
        <v>10.25</v>
      </c>
      <c r="BW14" s="29">
        <f>SUM(BW27+BW40+BW53+BW66+BW79+BW92+BW105+BW118+BW131+BW144+BW157+BW170+BW183+BW196+BW209+BW222)/16</f>
        <v>4.541458333333333</v>
      </c>
      <c r="BX14" s="29">
        <v>5.095625</v>
      </c>
      <c r="BY14" s="29">
        <v>19.76</v>
      </c>
      <c r="BZ14" s="29">
        <f>SUM(BZ27+BZ40+BZ53+BZ66+BZ79+BZ92+BZ105+BZ118+BZ131+BZ144+BZ157+BZ170+BZ183+BZ196+BZ209+BZ222)/16</f>
        <v>7.103958333333334</v>
      </c>
      <c r="CA14" s="29">
        <v>9.275625</v>
      </c>
      <c r="CB14" s="30">
        <v>15.47</v>
      </c>
      <c r="CC14" s="28">
        <v>7.59</v>
      </c>
      <c r="CD14" s="29">
        <v>12.170625</v>
      </c>
      <c r="CE14" s="29">
        <v>16.019375</v>
      </c>
      <c r="CF14" s="29">
        <v>12.94625</v>
      </c>
      <c r="CG14" s="45">
        <v>0.0465625</v>
      </c>
      <c r="CH14" s="45">
        <v>0.12</v>
      </c>
      <c r="CI14" s="60">
        <v>0.005375</v>
      </c>
      <c r="CJ14" s="59">
        <v>0.005375</v>
      </c>
    </row>
    <row r="15" spans="1:88" ht="16.5" customHeight="1">
      <c r="A15" s="592"/>
      <c r="B15" s="3" t="s">
        <v>28</v>
      </c>
      <c r="C15" s="95">
        <f t="shared" si="8"/>
        <v>111287.94999999998</v>
      </c>
      <c r="D15" s="14">
        <v>24.5</v>
      </c>
      <c r="E15" s="14">
        <f t="shared" si="1"/>
        <v>18423.552</v>
      </c>
      <c r="F15" s="429">
        <f t="shared" si="9"/>
        <v>16026.37</v>
      </c>
      <c r="G15" s="429">
        <f t="shared" si="10"/>
        <v>2397.182</v>
      </c>
      <c r="H15" s="14">
        <f t="shared" si="11"/>
        <v>5211</v>
      </c>
      <c r="I15" s="14">
        <f t="shared" si="11"/>
        <v>3507.8499999999995</v>
      </c>
      <c r="J15" s="14">
        <f t="shared" si="11"/>
        <v>1785.28</v>
      </c>
      <c r="K15" s="18">
        <f t="shared" si="11"/>
        <v>88.5</v>
      </c>
      <c r="L15" s="39">
        <f t="shared" si="12"/>
        <v>73410.22</v>
      </c>
      <c r="M15" s="14">
        <v>71191.14</v>
      </c>
      <c r="N15" s="14">
        <v>1949.08</v>
      </c>
      <c r="O15" s="14">
        <v>270</v>
      </c>
      <c r="P15" s="14">
        <f t="shared" si="13"/>
        <v>24.07604166666667</v>
      </c>
      <c r="Q15" s="14">
        <f t="shared" si="18"/>
        <v>3049.098394842729</v>
      </c>
      <c r="R15" s="14"/>
      <c r="S15" s="32">
        <v>937.89375</v>
      </c>
      <c r="T15" s="14">
        <v>141898.1</v>
      </c>
      <c r="U15" s="14">
        <v>659992.9</v>
      </c>
      <c r="V15" s="14">
        <v>18915</v>
      </c>
      <c r="W15" s="14">
        <v>43616</v>
      </c>
      <c r="X15" s="89">
        <v>3.5085714285714285</v>
      </c>
      <c r="Y15" s="95">
        <f t="shared" si="14"/>
        <v>41798.393</v>
      </c>
      <c r="Z15" s="32">
        <v>39909.19</v>
      </c>
      <c r="AA15" s="32">
        <v>1686.203</v>
      </c>
      <c r="AB15" s="32">
        <v>203</v>
      </c>
      <c r="AC15" s="14">
        <f t="shared" si="3"/>
        <v>21.666666666666668</v>
      </c>
      <c r="AD15" s="14">
        <f t="shared" si="15"/>
        <v>2985.5995</v>
      </c>
      <c r="AE15" s="32"/>
      <c r="AF15" s="32">
        <v>922.4375</v>
      </c>
      <c r="AG15" s="32">
        <v>52926</v>
      </c>
      <c r="AH15" s="32">
        <v>247964</v>
      </c>
      <c r="AI15" s="32">
        <v>3541</v>
      </c>
      <c r="AJ15" s="32">
        <v>37867</v>
      </c>
      <c r="AK15" s="96">
        <v>2.682</v>
      </c>
      <c r="AL15" s="39">
        <v>182790.617</v>
      </c>
      <c r="AM15" s="14">
        <f>+AM28+AM41+AM54+AM67+AM80+AM93+AM106+AM119+AM132+AM145+AM158+AM171+AM184+AM197+AM210+AM223</f>
        <v>81943.68</v>
      </c>
      <c r="AN15" s="14">
        <f t="shared" si="20"/>
        <v>523525.765</v>
      </c>
      <c r="AO15" s="14">
        <f t="shared" si="5"/>
        <v>40714.3</v>
      </c>
      <c r="AP15" s="14">
        <v>4416.715</v>
      </c>
      <c r="AQ15" s="14">
        <v>3977.915</v>
      </c>
      <c r="AR15" s="14">
        <v>438.8</v>
      </c>
      <c r="AS15" s="14">
        <v>15018</v>
      </c>
      <c r="AT15" s="14">
        <v>235.24</v>
      </c>
      <c r="AU15" s="18">
        <f t="shared" si="6"/>
        <v>83002.919</v>
      </c>
      <c r="AV15" s="36">
        <v>0.32512500000000005</v>
      </c>
      <c r="AW15" s="14">
        <v>1676.7</v>
      </c>
      <c r="AX15" s="22">
        <v>50.408125</v>
      </c>
      <c r="AY15" s="22">
        <f t="shared" si="21"/>
        <v>40.374375</v>
      </c>
      <c r="AZ15" s="22">
        <f t="shared" si="21"/>
        <v>9.161250000000003</v>
      </c>
      <c r="BA15" s="22">
        <f t="shared" si="21"/>
        <v>25.42125</v>
      </c>
      <c r="BB15" s="22">
        <v>3.266875</v>
      </c>
      <c r="BC15" s="22">
        <v>20.853125</v>
      </c>
      <c r="BD15" s="22">
        <v>42.198125</v>
      </c>
      <c r="BE15" s="22">
        <v>4.2625</v>
      </c>
      <c r="BF15" s="426">
        <v>3.934375</v>
      </c>
      <c r="BG15" s="55">
        <v>0.1325</v>
      </c>
      <c r="BH15" s="39">
        <f>SUM(BH28+BH41+BH54+BH67+BH80+BH93+BH106+BH119+BH132+BH145+BH158+BH171+BH184+BH197+BH210+BH223)/16</f>
        <v>42811.4584375</v>
      </c>
      <c r="BI15" s="14">
        <v>47870.36975</v>
      </c>
      <c r="BJ15" s="14"/>
      <c r="BK15" s="14">
        <f>SUM(BK28+BK41+BK54+BK67+BK80+BK93+BK106+BK119+BK132+BK145+BK158+BK171+BK184+BK197+BK210+BK223)/16</f>
        <v>183.999375</v>
      </c>
      <c r="BL15" s="14">
        <v>181.14485714285712</v>
      </c>
      <c r="BM15" s="14"/>
      <c r="BN15" s="14">
        <f t="shared" si="7"/>
        <v>21767.03</v>
      </c>
      <c r="BO15" s="14">
        <f t="shared" si="16"/>
        <v>1704.3</v>
      </c>
      <c r="BP15" s="18">
        <f t="shared" si="17"/>
        <v>20062.73</v>
      </c>
      <c r="BQ15" s="28">
        <f>SUM(BQ28+BQ41+BQ54+BQ67+BQ80+BQ93+BQ106+BQ119+BQ132+BQ145+BQ158+BQ171+BQ184+BQ197+BQ210+BQ223)/16</f>
        <v>8.304687499999998</v>
      </c>
      <c r="BR15" s="29">
        <v>11.507142857142856</v>
      </c>
      <c r="BS15" s="29">
        <v>35.28</v>
      </c>
      <c r="BT15" s="29">
        <f>SUM(BT28+BT41+BT54+BT67+BT80+BT93+BT106+BT119+BT132+BT145+BT158+BT171+BT184+BT197+BT210+BT223)/16</f>
        <v>34.60843750000001</v>
      </c>
      <c r="BU15" s="29">
        <v>32.940571428571424</v>
      </c>
      <c r="BV15" s="29">
        <v>4.73</v>
      </c>
      <c r="BW15" s="29">
        <f>SUM(BW28+BW41+BW54+BW67+BW80+BW93+BW106+BW119+BW132+BW145+BW158+BW171+BW184+BW197+BW210+BW223)/16</f>
        <v>4.555312499999999</v>
      </c>
      <c r="BX15" s="29">
        <v>5.439714285714284</v>
      </c>
      <c r="BY15" s="29">
        <v>14.52</v>
      </c>
      <c r="BZ15" s="29">
        <f>SUM(BZ28+BZ41+BZ54+BZ67+BZ80+BZ93+BZ106+BZ119+BZ132+BZ145+BZ158+BZ171+BZ184+BZ197+BZ210+BZ223)/16</f>
        <v>6.2299999999999995</v>
      </c>
      <c r="CA15" s="29">
        <v>9.755428571428572</v>
      </c>
      <c r="CB15" s="30">
        <v>13.83</v>
      </c>
      <c r="CC15" s="28">
        <v>7.469375</v>
      </c>
      <c r="CD15" s="29">
        <v>11.991875</v>
      </c>
      <c r="CE15" s="29">
        <v>13.345</v>
      </c>
      <c r="CF15" s="29">
        <v>17.003125</v>
      </c>
      <c r="CG15" s="45">
        <v>0.0850625</v>
      </c>
      <c r="CH15" s="60">
        <v>0.11837499999999998</v>
      </c>
      <c r="CI15" s="60">
        <v>0.0036875</v>
      </c>
      <c r="CJ15" s="59">
        <v>0.014499999999999999</v>
      </c>
    </row>
    <row r="16" spans="1:88" ht="16.5" customHeight="1">
      <c r="A16" s="592"/>
      <c r="B16" s="3" t="s">
        <v>29</v>
      </c>
      <c r="C16" s="95">
        <f t="shared" si="8"/>
        <v>123617.89000000001</v>
      </c>
      <c r="D16" s="14">
        <v>27.0625</v>
      </c>
      <c r="E16" s="14">
        <f t="shared" si="1"/>
        <v>19206.423000000003</v>
      </c>
      <c r="F16" s="429">
        <f t="shared" si="9"/>
        <v>17085.95</v>
      </c>
      <c r="G16" s="429">
        <f t="shared" si="10"/>
        <v>2120.473</v>
      </c>
      <c r="H16" s="14">
        <f t="shared" si="11"/>
        <v>3611</v>
      </c>
      <c r="I16" s="14">
        <f t="shared" si="11"/>
        <v>2601.87</v>
      </c>
      <c r="J16" s="14">
        <f t="shared" si="11"/>
        <v>1211.74</v>
      </c>
      <c r="K16" s="18">
        <f t="shared" si="11"/>
        <v>0</v>
      </c>
      <c r="L16" s="39">
        <f t="shared" si="12"/>
        <v>75176.79000000001</v>
      </c>
      <c r="M16" s="14">
        <v>73475.16</v>
      </c>
      <c r="N16" s="14">
        <v>1391.63</v>
      </c>
      <c r="O16" s="14">
        <v>310</v>
      </c>
      <c r="P16" s="14">
        <f t="shared" si="13"/>
        <v>24.23385416666667</v>
      </c>
      <c r="Q16" s="14">
        <f t="shared" si="18"/>
        <v>3102.139242193041</v>
      </c>
      <c r="R16" s="14"/>
      <c r="S16" s="32">
        <v>928.370625</v>
      </c>
      <c r="T16" s="14">
        <v>108906</v>
      </c>
      <c r="U16" s="14">
        <v>579723</v>
      </c>
      <c r="V16" s="14">
        <v>35245</v>
      </c>
      <c r="W16" s="14">
        <v>61800</v>
      </c>
      <c r="X16" s="89">
        <v>3.371538461538461</v>
      </c>
      <c r="Y16" s="95">
        <f t="shared" si="14"/>
        <v>47322.83</v>
      </c>
      <c r="Z16" s="32">
        <v>45951.35</v>
      </c>
      <c r="AA16" s="32">
        <v>1101.48</v>
      </c>
      <c r="AB16" s="32">
        <v>270</v>
      </c>
      <c r="AC16" s="14">
        <f t="shared" si="3"/>
        <v>23.755555555555556</v>
      </c>
      <c r="AD16" s="14">
        <f t="shared" si="15"/>
        <v>3380.202142857143</v>
      </c>
      <c r="AE16" s="32"/>
      <c r="AF16" s="32">
        <v>913.25</v>
      </c>
      <c r="AG16" s="32">
        <v>58925</v>
      </c>
      <c r="AH16" s="32">
        <v>249647</v>
      </c>
      <c r="AI16" s="32">
        <v>11915</v>
      </c>
      <c r="AJ16" s="32">
        <v>56837</v>
      </c>
      <c r="AK16" s="96">
        <v>2.77</v>
      </c>
      <c r="AL16" s="39">
        <v>183320.409</v>
      </c>
      <c r="AM16" s="14">
        <f>+AM29+AM42+AM55+AM68+AM81+AM94+AM107+AM120+AM133+AM146+AM159+AM172+AM185+AM198+AM211+AM224</f>
        <v>88714.092</v>
      </c>
      <c r="AN16" s="14">
        <f t="shared" si="20"/>
        <v>543590.495</v>
      </c>
      <c r="AO16" s="14">
        <f t="shared" si="5"/>
        <v>37255.01</v>
      </c>
      <c r="AP16" s="14">
        <v>4182.251</v>
      </c>
      <c r="AQ16" s="14">
        <v>3878.851</v>
      </c>
      <c r="AR16" s="14">
        <v>303.4</v>
      </c>
      <c r="AS16" s="14">
        <v>10953</v>
      </c>
      <c r="AT16" s="14">
        <v>374.83</v>
      </c>
      <c r="AU16" s="18">
        <f t="shared" si="6"/>
        <v>90473.27100000001</v>
      </c>
      <c r="AV16" s="36">
        <v>0.3078125</v>
      </c>
      <c r="AW16" s="14">
        <v>1735.0856250000002</v>
      </c>
      <c r="AX16" s="22">
        <v>48.4375</v>
      </c>
      <c r="AY16" s="22">
        <f t="shared" si="21"/>
        <v>41.780624999999986</v>
      </c>
      <c r="AZ16" s="22">
        <f t="shared" si="21"/>
        <v>9.856874999999999</v>
      </c>
      <c r="BA16" s="22">
        <f t="shared" si="21"/>
        <v>23.07875</v>
      </c>
      <c r="BB16" s="22">
        <v>4.356875</v>
      </c>
      <c r="BC16" s="22">
        <v>20.636875</v>
      </c>
      <c r="BD16" s="22">
        <v>43.030625</v>
      </c>
      <c r="BE16" s="22">
        <v>5.18</v>
      </c>
      <c r="BF16" s="426">
        <v>3.6625</v>
      </c>
      <c r="BG16" s="55">
        <v>0.0725</v>
      </c>
      <c r="BH16" s="39">
        <f>SUM(BH29+BH42+BH55+BH68+BH81+BH94+BH107+BH120+BH133+BH146+BH159+BH172+BH185+BH198+BH211+BH224)/15</f>
        <v>41391.69533333333</v>
      </c>
      <c r="BI16" s="14">
        <v>47134.832916666666</v>
      </c>
      <c r="BJ16" s="14"/>
      <c r="BK16" s="14">
        <f>SUM(BK29+BK42+BK55+BK68+BK81+BK94+BK107+BK120+BK133+BK146+BK159+BK172+BK185+BK198+BK211+BK224)/15</f>
        <v>196.79666666666668</v>
      </c>
      <c r="BL16" s="14">
        <v>180.8314285714286</v>
      </c>
      <c r="BM16" s="14"/>
      <c r="BN16" s="14">
        <f t="shared" si="7"/>
        <v>23753.77</v>
      </c>
      <c r="BO16" s="14">
        <f t="shared" si="16"/>
        <v>1967.2</v>
      </c>
      <c r="BP16" s="18">
        <f t="shared" si="17"/>
        <v>21786.57</v>
      </c>
      <c r="BQ16" s="28">
        <f>SUM(BQ29+BQ42+BQ55+BQ68+BQ81+BQ94+BQ107+BQ120+BQ133+BQ146+BQ159+BQ172+BQ185+BQ198+BQ211+BQ224)/15</f>
        <v>8.386666666666667</v>
      </c>
      <c r="BR16" s="29">
        <v>7.98875</v>
      </c>
      <c r="BS16" s="29">
        <v>18.22</v>
      </c>
      <c r="BT16" s="29">
        <f>SUM(BT29+BT42+BT55+BT68+BT81+BT94+BT107+BT120+BT133+BT146+BT159+BT172+BT185+BT198+BT211+BT224)/15</f>
        <v>41.80800000000001</v>
      </c>
      <c r="BU16" s="29">
        <v>31.88875</v>
      </c>
      <c r="BV16" s="29">
        <v>23.67</v>
      </c>
      <c r="BW16" s="29">
        <f>SUM(BW29+BW42+BW55+BW68+BW81+BW94+BW107+BW120+BW133+BW146+BW159+BW172+BW185+BW198+BW211+BW224)/15</f>
        <v>5.0920000000000005</v>
      </c>
      <c r="BX16" s="29">
        <v>5.39</v>
      </c>
      <c r="BY16" s="29">
        <v>10.76</v>
      </c>
      <c r="BZ16" s="29">
        <f>SUM(BZ29+BZ42+BZ55+BZ68+BZ81+BZ94+BZ107+BZ120+BZ133+BZ146+BZ159+BZ172+BZ185+BZ198+BZ211+BZ224)/15</f>
        <v>7.124</v>
      </c>
      <c r="CA16" s="29">
        <v>7.77</v>
      </c>
      <c r="CB16" s="30">
        <v>13.67</v>
      </c>
      <c r="CC16" s="28">
        <v>7.26625</v>
      </c>
      <c r="CD16" s="29">
        <v>12.075625</v>
      </c>
      <c r="CE16" s="29">
        <v>14.851875</v>
      </c>
      <c r="CF16" s="29">
        <v>13.59375</v>
      </c>
      <c r="CG16" s="45">
        <v>0.09785714285714286</v>
      </c>
      <c r="CH16" s="45">
        <v>0.15328571428571428</v>
      </c>
      <c r="CI16" s="45">
        <v>0.0007857142857142856</v>
      </c>
      <c r="CJ16" s="46">
        <v>0.014357142857142858</v>
      </c>
    </row>
    <row r="17" spans="1:88" ht="16.5" customHeight="1">
      <c r="A17" s="592"/>
      <c r="B17" s="3" t="s">
        <v>30</v>
      </c>
      <c r="C17" s="95">
        <f t="shared" si="8"/>
        <v>136432.47</v>
      </c>
      <c r="D17" s="14">
        <v>28.6875</v>
      </c>
      <c r="E17" s="14">
        <f t="shared" si="1"/>
        <v>21193.82</v>
      </c>
      <c r="F17" s="429">
        <f t="shared" si="9"/>
        <v>18726.32</v>
      </c>
      <c r="G17" s="429">
        <f t="shared" si="10"/>
        <v>2467.5</v>
      </c>
      <c r="H17" s="14">
        <f>+H30+H43+H56+H69+H82+H95+H108+H121+H134+H147+H160+H173+H186+H199+H212+H225</f>
        <v>3366</v>
      </c>
      <c r="I17" s="14">
        <f t="shared" si="11"/>
        <v>2478.89</v>
      </c>
      <c r="J17" s="14">
        <f t="shared" si="11"/>
        <v>915.71</v>
      </c>
      <c r="K17" s="18">
        <f t="shared" si="11"/>
        <v>0</v>
      </c>
      <c r="L17" s="39">
        <f t="shared" si="12"/>
        <v>84516.72499999999</v>
      </c>
      <c r="M17" s="14">
        <v>82795.025</v>
      </c>
      <c r="N17" s="14">
        <v>1363.7</v>
      </c>
      <c r="O17" s="14">
        <v>358</v>
      </c>
      <c r="P17" s="14">
        <f t="shared" si="13"/>
        <v>28.534375</v>
      </c>
      <c r="Q17" s="14">
        <f t="shared" si="18"/>
        <v>2961.9266235899677</v>
      </c>
      <c r="R17" s="14"/>
      <c r="S17" s="32">
        <v>913.2813333333335</v>
      </c>
      <c r="T17" s="14">
        <v>219016</v>
      </c>
      <c r="U17" s="14">
        <v>569663</v>
      </c>
      <c r="V17" s="14">
        <v>15466</v>
      </c>
      <c r="W17" s="14">
        <v>66801</v>
      </c>
      <c r="X17" s="89">
        <v>3.341428571428571</v>
      </c>
      <c r="Y17" s="95">
        <f t="shared" si="14"/>
        <v>54683.59</v>
      </c>
      <c r="Z17" s="32">
        <v>53275.33</v>
      </c>
      <c r="AA17" s="32">
        <v>1018.26</v>
      </c>
      <c r="AB17" s="32">
        <v>390</v>
      </c>
      <c r="AC17" s="14">
        <f t="shared" si="3"/>
        <v>25.11111111111111</v>
      </c>
      <c r="AD17" s="14">
        <f t="shared" si="15"/>
        <v>3905.970714285714</v>
      </c>
      <c r="AE17" s="32"/>
      <c r="AF17" s="32">
        <v>911.5625</v>
      </c>
      <c r="AG17" s="32">
        <v>129582</v>
      </c>
      <c r="AH17" s="32">
        <v>377445</v>
      </c>
      <c r="AI17" s="32">
        <v>6852</v>
      </c>
      <c r="AJ17" s="32">
        <v>65398</v>
      </c>
      <c r="AK17" s="96">
        <v>2.88</v>
      </c>
      <c r="AL17" s="49">
        <v>195775.701</v>
      </c>
      <c r="AM17" s="50">
        <f>+AM30+AM43+AM56+AM69+AM82+AM95+AM108+AM121+AM134+AM147+AM160+AM173+AM186+AM199+AM212+AM225</f>
        <v>85129.044</v>
      </c>
      <c r="AN17" s="50">
        <f>+AN30+AN43+AN69+AN82+AN95+AN108+AN121+AN134+AN147+AN160+AN173+AN186+AN199+AN212+AN225</f>
        <v>535324.7050000001</v>
      </c>
      <c r="AO17" s="50">
        <f t="shared" si="5"/>
        <v>41292.46</v>
      </c>
      <c r="AP17" s="50">
        <v>4586.947</v>
      </c>
      <c r="AQ17" s="50">
        <v>4460.647</v>
      </c>
      <c r="AR17" s="50">
        <v>126.3</v>
      </c>
      <c r="AS17" s="50">
        <v>5416</v>
      </c>
      <c r="AT17" s="50">
        <v>481.34</v>
      </c>
      <c r="AU17" s="51">
        <f t="shared" si="6"/>
        <v>103831.003</v>
      </c>
      <c r="AV17" s="36">
        <v>0.3085</v>
      </c>
      <c r="AW17" s="14">
        <v>1647.515</v>
      </c>
      <c r="AX17" s="22">
        <v>51.2013125</v>
      </c>
      <c r="AY17" s="428">
        <f t="shared" si="21"/>
        <v>39.568125</v>
      </c>
      <c r="AZ17" s="428">
        <f t="shared" si="21"/>
        <v>9.293750000000001</v>
      </c>
      <c r="BA17" s="22">
        <f t="shared" si="21"/>
        <v>22.788749999999997</v>
      </c>
      <c r="BB17" s="22">
        <v>4.261875</v>
      </c>
      <c r="BC17" s="22">
        <v>19.579375</v>
      </c>
      <c r="BD17" s="22">
        <v>44.98125</v>
      </c>
      <c r="BE17" s="22">
        <v>4.651875</v>
      </c>
      <c r="BF17" s="426">
        <v>3.674375</v>
      </c>
      <c r="BG17" s="55">
        <v>0.15625</v>
      </c>
      <c r="BH17" s="49">
        <f>SUM(BH30+BH43+BH56+BH69+BH82+BH95+BH108+BH121+BH134+BH147+BH160+BH173+BH186+BH199+BH212+BH225)/15</f>
        <v>40004.761333333336</v>
      </c>
      <c r="BI17" s="14">
        <v>50741.80607142857</v>
      </c>
      <c r="BJ17" s="14"/>
      <c r="BK17" s="14">
        <f>SUM(BK30+BK43+BK56+BK69+BK82+BK95+BK108+BK121+BK134+BK147+BK160+BK173+BK186+BK199+BK212+BK225)/15</f>
        <v>185.576</v>
      </c>
      <c r="BL17" s="14">
        <v>180.18571428571428</v>
      </c>
      <c r="BM17" s="14"/>
      <c r="BN17" s="14">
        <f t="shared" si="7"/>
        <v>25106.66</v>
      </c>
      <c r="BO17" s="50">
        <f t="shared" si="16"/>
        <v>2026</v>
      </c>
      <c r="BP17" s="51">
        <f t="shared" si="17"/>
        <v>23080.66</v>
      </c>
      <c r="BQ17" s="28">
        <f>SUM(BQ30+BQ43+BQ56+BQ69+BQ82+BQ95+BQ108+BQ121+BQ134+BQ147+BQ160+BQ173+BQ186+BQ199+BQ212+BQ225)/15</f>
        <v>9.868</v>
      </c>
      <c r="BR17" s="29">
        <v>8.23375</v>
      </c>
      <c r="BS17" s="29">
        <v>12.11</v>
      </c>
      <c r="BT17" s="29">
        <f>SUM(BT30+BT43+BT56+BT69+BT82+BT95+BT108+BT121+BT134+BT147+BT160+BT173+BT186+BT199+BT212+BT225)/15</f>
        <v>38.39533333333334</v>
      </c>
      <c r="BU17" s="29">
        <v>37.44125</v>
      </c>
      <c r="BV17" s="29">
        <v>9.93</v>
      </c>
      <c r="BW17" s="29">
        <f>SUM(BW30+BW43+BW56+BW69+BW82+BW95+BW108+BW121+BW134+BW147+BW160+BW173+BW186+BW199+BW212+BW225)/15</f>
        <v>3.5913333333333335</v>
      </c>
      <c r="BX17" s="29">
        <v>4.02625</v>
      </c>
      <c r="BY17" s="29">
        <v>6.49</v>
      </c>
      <c r="BZ17" s="29">
        <f>SUM(BZ30+BZ43+BZ56+BZ69+BZ82+BZ95+BZ108+BZ121+BZ134+BZ147+BZ160+BZ173+BZ186+BZ199+BZ212+BZ225)/15</f>
        <v>6.932666666666667</v>
      </c>
      <c r="CA17" s="29">
        <v>7.28375</v>
      </c>
      <c r="CB17" s="30">
        <v>4.23</v>
      </c>
      <c r="CC17" s="28">
        <v>7.223125</v>
      </c>
      <c r="CD17" s="29">
        <v>9.711875</v>
      </c>
      <c r="CE17" s="29">
        <v>13.513125</v>
      </c>
      <c r="CF17" s="29">
        <v>13.19</v>
      </c>
      <c r="CG17" s="45">
        <v>0.05446666666666667</v>
      </c>
      <c r="CH17" s="45">
        <v>0.12766666666666665</v>
      </c>
      <c r="CI17" s="45">
        <v>0.0008</v>
      </c>
      <c r="CJ17" s="46">
        <v>0.0070666666666666655</v>
      </c>
    </row>
    <row r="18" spans="1:88" ht="16.5" customHeight="1">
      <c r="A18" s="478" t="s">
        <v>35</v>
      </c>
      <c r="B18" s="10" t="s">
        <v>48</v>
      </c>
      <c r="C18" s="11">
        <f>SUM(C19:C30)</f>
        <v>84809.00000000001</v>
      </c>
      <c r="D18" s="12">
        <f>SUM(D19:D30)</f>
        <v>290</v>
      </c>
      <c r="E18" s="12">
        <f aca="true" t="shared" si="22" ref="E18:E30">F18+G18</f>
        <v>13908.16</v>
      </c>
      <c r="F18" s="12">
        <f aca="true" t="shared" si="23" ref="F18:N18">SUM(F19:F30)</f>
        <v>11791.57</v>
      </c>
      <c r="G18" s="272">
        <f t="shared" si="23"/>
        <v>2116.59</v>
      </c>
      <c r="H18" s="12">
        <f>SUM(H19:H30)</f>
        <v>2455</v>
      </c>
      <c r="I18" s="12">
        <f t="shared" si="23"/>
        <v>1887.33</v>
      </c>
      <c r="J18" s="12">
        <f t="shared" si="23"/>
        <v>567.42</v>
      </c>
      <c r="K18" s="16">
        <f t="shared" si="23"/>
        <v>0</v>
      </c>
      <c r="L18" s="271">
        <f t="shared" si="23"/>
        <v>43907.14000000001</v>
      </c>
      <c r="M18" s="272">
        <f t="shared" si="23"/>
        <v>42881.509999999995</v>
      </c>
      <c r="N18" s="272">
        <f t="shared" si="23"/>
        <v>1025.6299999999999</v>
      </c>
      <c r="O18" s="272"/>
      <c r="P18" s="12">
        <f>SUM(P19:P30)</f>
        <v>250</v>
      </c>
      <c r="Q18" s="12">
        <f aca="true" t="shared" si="24" ref="Q18:Q30">L18/P18</f>
        <v>175.62856000000002</v>
      </c>
      <c r="R18" s="63">
        <f>L18/P18/200*100</f>
        <v>87.81428000000001</v>
      </c>
      <c r="S18" s="12">
        <f>SUM(S19:S30)/12</f>
        <v>914.75</v>
      </c>
      <c r="T18" s="272">
        <f>SUM(T19:T30)</f>
        <v>108526</v>
      </c>
      <c r="U18" s="272">
        <f>SUM(U19:U30)</f>
        <v>868201</v>
      </c>
      <c r="V18" s="12"/>
      <c r="W18" s="12"/>
      <c r="X18" s="422">
        <f>SUM(X19:X30)/12</f>
        <v>3.583333333333334</v>
      </c>
      <c r="Y18" s="11">
        <f>Z18+AA18</f>
        <v>40959.183000000005</v>
      </c>
      <c r="Z18" s="12">
        <f>SUM(Z19:Z30)</f>
        <v>40098.68000000001</v>
      </c>
      <c r="AA18" s="12">
        <f>SUM(AA19:AA30)</f>
        <v>860.5030000000002</v>
      </c>
      <c r="AB18" s="272"/>
      <c r="AC18" s="12">
        <f>SUM(AC19:AC30)</f>
        <v>239</v>
      </c>
      <c r="AD18" s="272">
        <f>Y18/AC18</f>
        <v>171.3773347280335</v>
      </c>
      <c r="AE18" s="58">
        <f>AD18/200*100</f>
        <v>85.68866736401675</v>
      </c>
      <c r="AF18" s="12">
        <v>905</v>
      </c>
      <c r="AG18" s="12"/>
      <c r="AH18" s="12"/>
      <c r="AI18" s="12"/>
      <c r="AJ18" s="12"/>
      <c r="AK18" s="16"/>
      <c r="AL18" s="614">
        <f aca="true" t="shared" si="25" ref="AL18:AS18">SUM(AL19:AL30)</f>
        <v>113071</v>
      </c>
      <c r="AM18" s="435">
        <f t="shared" si="25"/>
        <v>75605</v>
      </c>
      <c r="AN18" s="435">
        <f t="shared" si="25"/>
        <v>714845.2750000001</v>
      </c>
      <c r="AO18" s="50">
        <f t="shared" si="25"/>
        <v>3093</v>
      </c>
      <c r="AP18" s="50">
        <f t="shared" si="25"/>
        <v>3596.8</v>
      </c>
      <c r="AQ18" s="50">
        <f t="shared" si="25"/>
        <v>3264.2</v>
      </c>
      <c r="AR18" s="50">
        <f t="shared" si="25"/>
        <v>332.59999999999997</v>
      </c>
      <c r="AS18" s="50">
        <f t="shared" si="25"/>
        <v>17928</v>
      </c>
      <c r="AT18" s="50"/>
      <c r="AU18" s="436">
        <f>SUM(AU19:AU30)</f>
        <v>34373</v>
      </c>
      <c r="AV18" s="64">
        <v>0.43</v>
      </c>
      <c r="AW18" s="66">
        <v>1474</v>
      </c>
      <c r="AX18" s="58">
        <v>53.6</v>
      </c>
      <c r="AY18" s="58">
        <v>35.8</v>
      </c>
      <c r="AZ18" s="58">
        <v>10.6</v>
      </c>
      <c r="BA18" s="58">
        <v>23.4</v>
      </c>
      <c r="BB18" s="58">
        <v>5</v>
      </c>
      <c r="BC18" s="58">
        <v>18</v>
      </c>
      <c r="BD18" s="58">
        <v>42</v>
      </c>
      <c r="BE18" s="58">
        <v>5.6</v>
      </c>
      <c r="BF18" s="58">
        <v>6</v>
      </c>
      <c r="BG18" s="70">
        <v>0</v>
      </c>
      <c r="BH18" s="11">
        <f>SUM(BH19:BH30)/11</f>
        <v>33662.818181818184</v>
      </c>
      <c r="BI18" s="12">
        <f>SUM(BI19:BI30)/10</f>
        <v>34189.1</v>
      </c>
      <c r="BJ18" s="12"/>
      <c r="BK18" s="12">
        <f>SUM(BK19:BK30)/11</f>
        <v>178.9090909090909</v>
      </c>
      <c r="BL18" s="12">
        <f>SUM(BL19:BL30)/10</f>
        <v>179.4</v>
      </c>
      <c r="BM18" s="12"/>
      <c r="BN18" s="12">
        <f>SUM(BN19:BN30)</f>
        <v>3614.3999999999996</v>
      </c>
      <c r="BO18" s="12"/>
      <c r="BP18" s="16">
        <f>SUM(BP19:BP30)</f>
        <v>3614.3999999999996</v>
      </c>
      <c r="BQ18" s="41">
        <f>SUM(BQ19:BQ30)/11</f>
        <v>2.8818181818181823</v>
      </c>
      <c r="BR18" s="34">
        <f>SUM(BR19:BR30)/10</f>
        <v>1.78</v>
      </c>
      <c r="BS18" s="34"/>
      <c r="BT18" s="34">
        <f>SUM(BT19:BT30)/11</f>
        <v>31.863636363636363</v>
      </c>
      <c r="BU18" s="34">
        <f>SUM(BU19:BU30)/10</f>
        <v>26.560000000000002</v>
      </c>
      <c r="BV18" s="34"/>
      <c r="BW18" s="34">
        <f>SUM(BW19:BW30)/11</f>
        <v>9.845454545454546</v>
      </c>
      <c r="BX18" s="34">
        <f>SUM(BX19:BX30)/10</f>
        <v>8.629999999999999</v>
      </c>
      <c r="BY18" s="34"/>
      <c r="BZ18" s="34">
        <f>SUM(BZ19:BZ30)/11</f>
        <v>5.136363636363637</v>
      </c>
      <c r="CA18" s="34">
        <f>SUM(CA19:CA30)/10</f>
        <v>5.76</v>
      </c>
      <c r="CB18" s="72"/>
      <c r="CC18" s="41">
        <f>SUM(CC19:CC30)/12</f>
        <v>7.141666666666667</v>
      </c>
      <c r="CD18" s="34">
        <f>SUM(CD19:CD30)/12</f>
        <v>37.28333333333333</v>
      </c>
      <c r="CE18" s="34">
        <f>SUM(CE19:CE30)/12</f>
        <v>35.800000000000004</v>
      </c>
      <c r="CF18" s="34">
        <f>SUM(CF19:CF30)/12</f>
        <v>9.666666666666666</v>
      </c>
      <c r="CG18" s="34">
        <f>SUM(CG19:CG30)/6</f>
        <v>0.10000000000000002</v>
      </c>
      <c r="CH18" s="34">
        <f>SUM(CH19:CH30)/6</f>
        <v>0.11666666666666668</v>
      </c>
      <c r="CI18" s="74" t="s">
        <v>36</v>
      </c>
      <c r="CJ18" s="75" t="s">
        <v>36</v>
      </c>
    </row>
    <row r="19" spans="1:88" ht="16.5" customHeight="1">
      <c r="A19" s="592"/>
      <c r="B19" s="3" t="s">
        <v>19</v>
      </c>
      <c r="C19" s="273">
        <v>6706.3</v>
      </c>
      <c r="D19" s="14">
        <v>25</v>
      </c>
      <c r="E19" s="14">
        <f t="shared" si="22"/>
        <v>1370.65</v>
      </c>
      <c r="F19" s="274">
        <v>1185.27</v>
      </c>
      <c r="G19" s="274">
        <v>185.38</v>
      </c>
      <c r="H19" s="274">
        <v>103</v>
      </c>
      <c r="I19" s="274">
        <f>31.59+71.87</f>
        <v>103.46000000000001</v>
      </c>
      <c r="J19" s="274"/>
      <c r="K19" s="18">
        <v>0</v>
      </c>
      <c r="L19" s="437">
        <f aca="true" t="shared" si="26" ref="L19:L30">M19+N19</f>
        <v>2652.3700000000003</v>
      </c>
      <c r="M19" s="438">
        <v>2620.78</v>
      </c>
      <c r="N19" s="438">
        <v>31.59</v>
      </c>
      <c r="O19" s="438"/>
      <c r="P19" s="13">
        <v>15</v>
      </c>
      <c r="Q19" s="13">
        <f t="shared" si="24"/>
        <v>176.8246666666667</v>
      </c>
      <c r="R19" s="13"/>
      <c r="S19" s="13">
        <v>895</v>
      </c>
      <c r="T19" s="438">
        <v>9069</v>
      </c>
      <c r="U19" s="438">
        <v>82031</v>
      </c>
      <c r="V19" s="13"/>
      <c r="W19" s="13"/>
      <c r="X19" s="423">
        <v>2</v>
      </c>
      <c r="Y19" s="273">
        <f>Z19+AA19</f>
        <v>5285.7699999999995</v>
      </c>
      <c r="Z19" s="274">
        <v>5213.9</v>
      </c>
      <c r="AA19" s="274">
        <v>71.87</v>
      </c>
      <c r="AB19" s="274"/>
      <c r="AC19" s="14">
        <v>29</v>
      </c>
      <c r="AD19" s="274">
        <f>Y19/AC19</f>
        <v>182.26793103448273</v>
      </c>
      <c r="AE19" s="62"/>
      <c r="AF19" s="14">
        <v>935</v>
      </c>
      <c r="AG19" s="14"/>
      <c r="AH19" s="14"/>
      <c r="AI19" s="14"/>
      <c r="AJ19" s="14"/>
      <c r="AK19" s="18"/>
      <c r="AL19" s="437">
        <v>9433</v>
      </c>
      <c r="AM19" s="438">
        <v>5333</v>
      </c>
      <c r="AN19" s="13">
        <f aca="true" t="shared" si="27" ref="AN19:AN30">AM19*9.455</f>
        <v>50423.515</v>
      </c>
      <c r="AO19" s="13">
        <v>252</v>
      </c>
      <c r="AP19" s="13">
        <v>293.5</v>
      </c>
      <c r="AQ19" s="13">
        <f>AP19-AR19</f>
        <v>276.9</v>
      </c>
      <c r="AR19" s="13">
        <v>16.6</v>
      </c>
      <c r="AS19" s="13">
        <v>1047</v>
      </c>
      <c r="AT19" s="13"/>
      <c r="AU19" s="17">
        <v>3848</v>
      </c>
      <c r="AV19" s="35">
        <v>0.42</v>
      </c>
      <c r="AW19" s="67">
        <v>1520</v>
      </c>
      <c r="AX19" s="21">
        <v>53.4</v>
      </c>
      <c r="AY19" s="21">
        <v>37.5</v>
      </c>
      <c r="AZ19" s="21">
        <v>9.1</v>
      </c>
      <c r="BA19" s="21">
        <v>26.2</v>
      </c>
      <c r="BB19" s="21">
        <v>3.4</v>
      </c>
      <c r="BC19" s="21">
        <v>17.5</v>
      </c>
      <c r="BD19" s="21">
        <v>42.3</v>
      </c>
      <c r="BE19" s="21">
        <v>5.2</v>
      </c>
      <c r="BF19" s="21">
        <v>5.4</v>
      </c>
      <c r="BG19" s="54">
        <v>0</v>
      </c>
      <c r="BH19" s="38">
        <v>32876</v>
      </c>
      <c r="BI19" s="13">
        <v>33886</v>
      </c>
      <c r="BJ19" s="13"/>
      <c r="BK19" s="13">
        <v>182</v>
      </c>
      <c r="BL19" s="13">
        <v>177</v>
      </c>
      <c r="BM19" s="13"/>
      <c r="BN19" s="13">
        <f aca="true" t="shared" si="28" ref="BN19:BN30">BP19</f>
        <v>264.9</v>
      </c>
      <c r="BO19" s="13"/>
      <c r="BP19" s="17">
        <v>264.9</v>
      </c>
      <c r="BQ19" s="26">
        <v>3.6</v>
      </c>
      <c r="BR19" s="27">
        <v>1.9</v>
      </c>
      <c r="BS19" s="27"/>
      <c r="BT19" s="27">
        <v>33</v>
      </c>
      <c r="BU19" s="27">
        <v>31</v>
      </c>
      <c r="BV19" s="27"/>
      <c r="BW19" s="27">
        <v>15.4</v>
      </c>
      <c r="BX19" s="27">
        <v>10.3</v>
      </c>
      <c r="BY19" s="27"/>
      <c r="BZ19" s="27">
        <v>4.7</v>
      </c>
      <c r="CA19" s="27">
        <v>7.9</v>
      </c>
      <c r="CB19" s="44"/>
      <c r="CC19" s="26">
        <v>7.1</v>
      </c>
      <c r="CD19" s="27">
        <v>28.5</v>
      </c>
      <c r="CE19" s="27">
        <v>26.7</v>
      </c>
      <c r="CF19" s="27">
        <v>8</v>
      </c>
      <c r="CG19" s="27"/>
      <c r="CH19" s="27"/>
      <c r="CI19" s="76" t="s">
        <v>36</v>
      </c>
      <c r="CJ19" s="77"/>
    </row>
    <row r="20" spans="1:88" ht="16.5" customHeight="1">
      <c r="A20" s="592"/>
      <c r="B20" s="3" t="s">
        <v>20</v>
      </c>
      <c r="C20" s="273">
        <v>6738.8</v>
      </c>
      <c r="D20" s="14">
        <v>24</v>
      </c>
      <c r="E20" s="14">
        <f t="shared" si="22"/>
        <v>906.8199999999999</v>
      </c>
      <c r="F20" s="274">
        <v>790.75</v>
      </c>
      <c r="G20" s="274">
        <v>116.07</v>
      </c>
      <c r="H20" s="274">
        <v>77</v>
      </c>
      <c r="I20" s="274">
        <f>76.74+0</f>
        <v>76.74</v>
      </c>
      <c r="J20" s="274"/>
      <c r="K20" s="18"/>
      <c r="L20" s="273">
        <f t="shared" si="26"/>
        <v>5272.0599999999995</v>
      </c>
      <c r="M20" s="274">
        <v>5195.32</v>
      </c>
      <c r="N20" s="274">
        <v>76.74</v>
      </c>
      <c r="O20" s="274"/>
      <c r="P20" s="14">
        <v>29</v>
      </c>
      <c r="Q20" s="14">
        <f t="shared" si="24"/>
        <v>181.7951724137931</v>
      </c>
      <c r="R20" s="14"/>
      <c r="S20" s="14">
        <v>901</v>
      </c>
      <c r="T20" s="274">
        <v>2773</v>
      </c>
      <c r="U20" s="274">
        <v>58237</v>
      </c>
      <c r="V20" s="14"/>
      <c r="W20" s="14"/>
      <c r="X20" s="110">
        <v>2.3</v>
      </c>
      <c r="Y20" s="273"/>
      <c r="Z20" s="274"/>
      <c r="AA20" s="274"/>
      <c r="AB20" s="274"/>
      <c r="AC20" s="14"/>
      <c r="AD20" s="274"/>
      <c r="AE20" s="439"/>
      <c r="AF20" s="14"/>
      <c r="AG20" s="14"/>
      <c r="AH20" s="14"/>
      <c r="AI20" s="14"/>
      <c r="AJ20" s="14"/>
      <c r="AK20" s="18"/>
      <c r="AL20" s="273">
        <v>6955</v>
      </c>
      <c r="AM20" s="274">
        <v>3668</v>
      </c>
      <c r="AN20" s="274">
        <f t="shared" si="27"/>
        <v>34680.94</v>
      </c>
      <c r="AO20" s="14">
        <v>0</v>
      </c>
      <c r="AP20" s="14" t="s">
        <v>45</v>
      </c>
      <c r="AQ20" s="14" t="s">
        <v>45</v>
      </c>
      <c r="AR20" s="14" t="s">
        <v>45</v>
      </c>
      <c r="AS20" s="14" t="s">
        <v>45</v>
      </c>
      <c r="AT20" s="14"/>
      <c r="AU20" s="18">
        <v>3287</v>
      </c>
      <c r="AV20" s="36">
        <v>0.39</v>
      </c>
      <c r="AW20" s="68">
        <v>1421</v>
      </c>
      <c r="AX20" s="22">
        <v>56.2</v>
      </c>
      <c r="AY20" s="22">
        <v>35.3</v>
      </c>
      <c r="AZ20" s="22">
        <v>8.5</v>
      </c>
      <c r="BA20" s="22">
        <v>26</v>
      </c>
      <c r="BB20" s="22">
        <v>7.7</v>
      </c>
      <c r="BC20" s="22">
        <v>15.1</v>
      </c>
      <c r="BD20" s="22">
        <v>45.6</v>
      </c>
      <c r="BE20" s="22">
        <v>1</v>
      </c>
      <c r="BF20" s="22">
        <v>4.6</v>
      </c>
      <c r="BG20" s="55">
        <v>0</v>
      </c>
      <c r="BH20" s="39">
        <v>34390</v>
      </c>
      <c r="BI20" s="14"/>
      <c r="BJ20" s="14"/>
      <c r="BK20" s="14">
        <v>176</v>
      </c>
      <c r="BL20" s="14"/>
      <c r="BM20" s="14"/>
      <c r="BN20" s="14">
        <f t="shared" si="28"/>
        <v>351.3</v>
      </c>
      <c r="BO20" s="14"/>
      <c r="BP20" s="18">
        <v>351.3</v>
      </c>
      <c r="BQ20" s="28">
        <v>8.1</v>
      </c>
      <c r="BR20" s="29"/>
      <c r="BS20" s="29"/>
      <c r="BT20" s="29">
        <v>36.1</v>
      </c>
      <c r="BU20" s="29"/>
      <c r="BV20" s="29"/>
      <c r="BW20" s="29">
        <v>12.5</v>
      </c>
      <c r="BX20" s="29"/>
      <c r="BY20" s="29"/>
      <c r="BZ20" s="29">
        <v>4.9</v>
      </c>
      <c r="CA20" s="29"/>
      <c r="CB20" s="30"/>
      <c r="CC20" s="28">
        <v>7.2</v>
      </c>
      <c r="CD20" s="29">
        <v>24</v>
      </c>
      <c r="CE20" s="29">
        <v>23.2</v>
      </c>
      <c r="CF20" s="29">
        <v>10.5</v>
      </c>
      <c r="CG20" s="29"/>
      <c r="CH20" s="29"/>
      <c r="CI20" s="78" t="s">
        <v>36</v>
      </c>
      <c r="CJ20" s="79"/>
    </row>
    <row r="21" spans="1:88" ht="16.5" customHeight="1">
      <c r="A21" s="592"/>
      <c r="B21" s="3" t="s">
        <v>21</v>
      </c>
      <c r="C21" s="273">
        <v>7527.3</v>
      </c>
      <c r="D21" s="14">
        <v>26</v>
      </c>
      <c r="E21" s="14">
        <f t="shared" si="22"/>
        <v>1414.86</v>
      </c>
      <c r="F21" s="274">
        <v>1226.76</v>
      </c>
      <c r="G21" s="274">
        <v>188.1</v>
      </c>
      <c r="H21" s="274">
        <v>65</v>
      </c>
      <c r="I21" s="274">
        <f>18.68+46.33</f>
        <v>65.00999999999999</v>
      </c>
      <c r="J21" s="274"/>
      <c r="K21" s="18"/>
      <c r="L21" s="273">
        <f t="shared" si="26"/>
        <v>3040.23</v>
      </c>
      <c r="M21" s="274">
        <v>3021.55</v>
      </c>
      <c r="N21" s="274">
        <v>18.68</v>
      </c>
      <c r="O21" s="274"/>
      <c r="P21" s="14">
        <v>18</v>
      </c>
      <c r="Q21" s="14">
        <f t="shared" si="24"/>
        <v>168.90166666666667</v>
      </c>
      <c r="R21" s="14"/>
      <c r="S21" s="14">
        <v>884</v>
      </c>
      <c r="T21" s="274">
        <v>6001</v>
      </c>
      <c r="U21" s="274">
        <v>90749</v>
      </c>
      <c r="V21" s="14"/>
      <c r="W21" s="14"/>
      <c r="X21" s="110">
        <v>3.4</v>
      </c>
      <c r="Y21" s="273">
        <f>Z21+AA21</f>
        <v>5138.0599999999995</v>
      </c>
      <c r="Z21" s="274">
        <v>5091.73</v>
      </c>
      <c r="AA21" s="274">
        <v>46.33</v>
      </c>
      <c r="AB21" s="274"/>
      <c r="AC21" s="14">
        <v>30</v>
      </c>
      <c r="AD21" s="274">
        <f>Y21/AC21</f>
        <v>171.26866666666666</v>
      </c>
      <c r="AE21" s="62"/>
      <c r="AF21" s="14">
        <v>907</v>
      </c>
      <c r="AG21" s="14"/>
      <c r="AH21" s="14"/>
      <c r="AI21" s="14"/>
      <c r="AJ21" s="14"/>
      <c r="AK21" s="18"/>
      <c r="AL21" s="273">
        <v>11119</v>
      </c>
      <c r="AM21" s="274">
        <v>7654</v>
      </c>
      <c r="AN21" s="274">
        <f t="shared" si="27"/>
        <v>72368.57</v>
      </c>
      <c r="AO21" s="14">
        <v>395</v>
      </c>
      <c r="AP21" s="14">
        <v>459.3</v>
      </c>
      <c r="AQ21" s="14">
        <f>AP21-AR21</f>
        <v>404.5</v>
      </c>
      <c r="AR21" s="14">
        <v>54.8</v>
      </c>
      <c r="AS21" s="14">
        <v>2679</v>
      </c>
      <c r="AT21" s="14"/>
      <c r="AU21" s="18">
        <v>3070</v>
      </c>
      <c r="AV21" s="36">
        <v>0.43</v>
      </c>
      <c r="AW21" s="68">
        <v>1539</v>
      </c>
      <c r="AX21" s="22">
        <v>51.8</v>
      </c>
      <c r="AY21" s="22">
        <v>36.5</v>
      </c>
      <c r="AZ21" s="22">
        <v>11.7</v>
      </c>
      <c r="BA21" s="22">
        <v>17.1</v>
      </c>
      <c r="BB21" s="22">
        <v>5.5</v>
      </c>
      <c r="BC21" s="22">
        <v>16.5</v>
      </c>
      <c r="BD21" s="22">
        <v>46.2</v>
      </c>
      <c r="BE21" s="22">
        <v>6.9</v>
      </c>
      <c r="BF21" s="22">
        <v>7.8</v>
      </c>
      <c r="BG21" s="55">
        <v>0</v>
      </c>
      <c r="BH21" s="39">
        <v>33061</v>
      </c>
      <c r="BI21" s="14">
        <v>33122</v>
      </c>
      <c r="BJ21" s="14"/>
      <c r="BK21" s="14">
        <v>175</v>
      </c>
      <c r="BL21" s="14">
        <v>176</v>
      </c>
      <c r="BM21" s="14"/>
      <c r="BN21" s="14">
        <f t="shared" si="28"/>
        <v>411.7</v>
      </c>
      <c r="BO21" s="14"/>
      <c r="BP21" s="18">
        <v>411.7</v>
      </c>
      <c r="BQ21" s="28">
        <v>4.4</v>
      </c>
      <c r="BR21" s="29">
        <v>1.5</v>
      </c>
      <c r="BS21" s="29"/>
      <c r="BT21" s="29">
        <v>22.9</v>
      </c>
      <c r="BU21" s="29">
        <v>29.4</v>
      </c>
      <c r="BV21" s="29"/>
      <c r="BW21" s="29">
        <v>12.6</v>
      </c>
      <c r="BX21" s="29">
        <v>11.4</v>
      </c>
      <c r="BY21" s="29"/>
      <c r="BZ21" s="29">
        <v>5.1</v>
      </c>
      <c r="CA21" s="29">
        <v>3.9</v>
      </c>
      <c r="CB21" s="30"/>
      <c r="CC21" s="28">
        <v>7.2</v>
      </c>
      <c r="CD21" s="29">
        <v>32.7</v>
      </c>
      <c r="CE21" s="29">
        <v>30.3</v>
      </c>
      <c r="CF21" s="29">
        <v>8</v>
      </c>
      <c r="CG21" s="29"/>
      <c r="CH21" s="29"/>
      <c r="CI21" s="78" t="s">
        <v>36</v>
      </c>
      <c r="CJ21" s="79"/>
    </row>
    <row r="22" spans="1:88" ht="16.5" customHeight="1">
      <c r="A22" s="592"/>
      <c r="B22" s="3" t="s">
        <v>22</v>
      </c>
      <c r="C22" s="273">
        <v>7103.6</v>
      </c>
      <c r="D22" s="14">
        <v>23</v>
      </c>
      <c r="E22" s="14">
        <f t="shared" si="22"/>
        <v>1406.32</v>
      </c>
      <c r="F22" s="274">
        <v>1219.36</v>
      </c>
      <c r="G22" s="274">
        <v>186.96</v>
      </c>
      <c r="H22" s="274">
        <v>128</v>
      </c>
      <c r="I22" s="274">
        <f>66.72+60.93</f>
        <v>127.65</v>
      </c>
      <c r="J22" s="274"/>
      <c r="K22" s="18"/>
      <c r="L22" s="273">
        <f t="shared" si="26"/>
        <v>2955.0299999999997</v>
      </c>
      <c r="M22" s="274">
        <v>2888.31</v>
      </c>
      <c r="N22" s="274">
        <v>66.72</v>
      </c>
      <c r="O22" s="274"/>
      <c r="P22" s="14">
        <v>17</v>
      </c>
      <c r="Q22" s="14">
        <f t="shared" si="24"/>
        <v>173.82529411764705</v>
      </c>
      <c r="R22" s="14"/>
      <c r="S22" s="14">
        <v>916</v>
      </c>
      <c r="T22" s="274">
        <v>3018</v>
      </c>
      <c r="U22" s="274">
        <v>84690</v>
      </c>
      <c r="V22" s="14"/>
      <c r="W22" s="14"/>
      <c r="X22" s="110">
        <v>3.6</v>
      </c>
      <c r="Y22" s="273">
        <f>Z22+AA22</f>
        <v>5174.09</v>
      </c>
      <c r="Z22" s="274">
        <v>5113.16</v>
      </c>
      <c r="AA22" s="274">
        <v>60.93</v>
      </c>
      <c r="AB22" s="274"/>
      <c r="AC22" s="14">
        <v>30</v>
      </c>
      <c r="AD22" s="274">
        <f>Y22/AC22</f>
        <v>172.46966666666668</v>
      </c>
      <c r="AE22" s="62"/>
      <c r="AF22" s="14">
        <v>909</v>
      </c>
      <c r="AG22" s="14"/>
      <c r="AH22" s="14"/>
      <c r="AI22" s="14"/>
      <c r="AJ22" s="14"/>
      <c r="AK22" s="18"/>
      <c r="AL22" s="273">
        <v>10659</v>
      </c>
      <c r="AM22" s="274">
        <v>7550</v>
      </c>
      <c r="AN22" s="274">
        <f t="shared" si="27"/>
        <v>71385.25</v>
      </c>
      <c r="AO22" s="14">
        <v>389</v>
      </c>
      <c r="AP22" s="14">
        <v>452.2</v>
      </c>
      <c r="AQ22" s="14">
        <f>AP22-AR22</f>
        <v>401.8</v>
      </c>
      <c r="AR22" s="14">
        <v>50.4</v>
      </c>
      <c r="AS22" s="14">
        <v>2385</v>
      </c>
      <c r="AT22" s="14"/>
      <c r="AU22" s="18">
        <v>2720</v>
      </c>
      <c r="AV22" s="36">
        <v>0.43</v>
      </c>
      <c r="AW22" s="68">
        <v>1643</v>
      </c>
      <c r="AX22" s="22">
        <v>49.2</v>
      </c>
      <c r="AY22" s="22">
        <v>36</v>
      </c>
      <c r="AZ22" s="22">
        <v>14.8</v>
      </c>
      <c r="BA22" s="22">
        <v>17.2</v>
      </c>
      <c r="BB22" s="22">
        <v>3.5</v>
      </c>
      <c r="BC22" s="22">
        <v>15.5</v>
      </c>
      <c r="BD22" s="22">
        <v>46.5</v>
      </c>
      <c r="BE22" s="22">
        <v>8.9</v>
      </c>
      <c r="BF22" s="22">
        <v>8.4</v>
      </c>
      <c r="BG22" s="55">
        <v>0</v>
      </c>
      <c r="BH22" s="39">
        <v>31889</v>
      </c>
      <c r="BI22" s="14">
        <v>33663</v>
      </c>
      <c r="BJ22" s="14"/>
      <c r="BK22" s="14">
        <v>172</v>
      </c>
      <c r="BL22" s="14">
        <v>175</v>
      </c>
      <c r="BM22" s="14"/>
      <c r="BN22" s="14">
        <f t="shared" si="28"/>
        <v>361.5</v>
      </c>
      <c r="BO22" s="14"/>
      <c r="BP22" s="18">
        <v>361.5</v>
      </c>
      <c r="BQ22" s="28">
        <v>2.2</v>
      </c>
      <c r="BR22" s="29">
        <v>1.3</v>
      </c>
      <c r="BS22" s="29"/>
      <c r="BT22" s="29">
        <v>25</v>
      </c>
      <c r="BU22" s="29">
        <v>25.8</v>
      </c>
      <c r="BV22" s="29"/>
      <c r="BW22" s="29">
        <v>10.7</v>
      </c>
      <c r="BX22" s="29">
        <v>9.5</v>
      </c>
      <c r="BY22" s="29"/>
      <c r="BZ22" s="29">
        <v>5.5</v>
      </c>
      <c r="CA22" s="29">
        <v>5.6</v>
      </c>
      <c r="CB22" s="30"/>
      <c r="CC22" s="28">
        <v>7.4</v>
      </c>
      <c r="CD22" s="29">
        <v>32.4</v>
      </c>
      <c r="CE22" s="29">
        <v>35</v>
      </c>
      <c r="CF22" s="29">
        <v>5</v>
      </c>
      <c r="CG22" s="29"/>
      <c r="CH22" s="29"/>
      <c r="CI22" s="78" t="s">
        <v>36</v>
      </c>
      <c r="CJ22" s="79"/>
    </row>
    <row r="23" spans="1:88" ht="16.5" customHeight="1">
      <c r="A23" s="592"/>
      <c r="B23" s="3" t="s">
        <v>23</v>
      </c>
      <c r="C23" s="273">
        <v>7366.3</v>
      </c>
      <c r="D23" s="14">
        <v>22</v>
      </c>
      <c r="E23" s="14">
        <f t="shared" si="22"/>
        <v>1466.78</v>
      </c>
      <c r="F23" s="274">
        <v>1218.12</v>
      </c>
      <c r="G23" s="274">
        <v>248.66</v>
      </c>
      <c r="H23" s="274">
        <v>179</v>
      </c>
      <c r="I23" s="274">
        <f>146.96+32</f>
        <v>178.96</v>
      </c>
      <c r="J23" s="274"/>
      <c r="K23" s="18"/>
      <c r="L23" s="273">
        <f t="shared" si="26"/>
        <v>5523.6</v>
      </c>
      <c r="M23" s="274">
        <v>5376.64</v>
      </c>
      <c r="N23" s="274">
        <v>146.96</v>
      </c>
      <c r="O23" s="274"/>
      <c r="P23" s="14">
        <v>30</v>
      </c>
      <c r="Q23" s="14">
        <f t="shared" si="24"/>
        <v>184.12</v>
      </c>
      <c r="R23" s="14"/>
      <c r="S23" s="14">
        <v>938</v>
      </c>
      <c r="T23" s="274">
        <v>1997</v>
      </c>
      <c r="U23" s="274">
        <v>83784</v>
      </c>
      <c r="V23" s="14"/>
      <c r="W23" s="14"/>
      <c r="X23" s="110">
        <v>4.1</v>
      </c>
      <c r="Y23" s="273">
        <f>Z23+AA23</f>
        <v>2764.9</v>
      </c>
      <c r="Z23" s="274">
        <v>2732.9</v>
      </c>
      <c r="AA23" s="274">
        <v>32</v>
      </c>
      <c r="AB23" s="274"/>
      <c r="AC23" s="14">
        <v>17</v>
      </c>
      <c r="AD23" s="274">
        <f>Y23/AC23</f>
        <v>162.64117647058825</v>
      </c>
      <c r="AE23" s="62"/>
      <c r="AF23" s="14">
        <v>860</v>
      </c>
      <c r="AG23" s="14"/>
      <c r="AH23" s="14"/>
      <c r="AI23" s="14"/>
      <c r="AJ23" s="14"/>
      <c r="AK23" s="18"/>
      <c r="AL23" s="273">
        <v>11117</v>
      </c>
      <c r="AM23" s="274">
        <v>7914</v>
      </c>
      <c r="AN23" s="274">
        <f t="shared" si="27"/>
        <v>74826.87</v>
      </c>
      <c r="AO23" s="14">
        <v>383</v>
      </c>
      <c r="AP23" s="14">
        <v>445.8</v>
      </c>
      <c r="AQ23" s="14">
        <f>AP23-AR23</f>
        <v>398.2</v>
      </c>
      <c r="AR23" s="14">
        <v>47.6</v>
      </c>
      <c r="AS23" s="14">
        <v>2267</v>
      </c>
      <c r="AT23" s="14"/>
      <c r="AU23" s="18">
        <v>2820</v>
      </c>
      <c r="AV23" s="36">
        <v>0.44</v>
      </c>
      <c r="AW23" s="68">
        <v>1251</v>
      </c>
      <c r="AX23" s="22">
        <v>55.4</v>
      </c>
      <c r="AY23" s="22">
        <v>34.5</v>
      </c>
      <c r="AZ23" s="22">
        <v>10.1</v>
      </c>
      <c r="BA23" s="22">
        <v>21.5</v>
      </c>
      <c r="BB23" s="22">
        <v>2.4</v>
      </c>
      <c r="BC23" s="22">
        <v>13.8</v>
      </c>
      <c r="BD23" s="22">
        <v>49.5</v>
      </c>
      <c r="BE23" s="22">
        <v>6.8</v>
      </c>
      <c r="BF23" s="22">
        <v>6</v>
      </c>
      <c r="BG23" s="55">
        <v>0</v>
      </c>
      <c r="BH23" s="39">
        <v>33151</v>
      </c>
      <c r="BI23" s="14">
        <v>33675</v>
      </c>
      <c r="BJ23" s="14"/>
      <c r="BK23" s="14">
        <v>179</v>
      </c>
      <c r="BL23" s="14">
        <v>180</v>
      </c>
      <c r="BM23" s="14"/>
      <c r="BN23" s="14">
        <f t="shared" si="28"/>
        <v>244.7</v>
      </c>
      <c r="BO23" s="14"/>
      <c r="BP23" s="18">
        <v>244.7</v>
      </c>
      <c r="BQ23" s="28">
        <v>3.1</v>
      </c>
      <c r="BR23" s="29">
        <v>1.4</v>
      </c>
      <c r="BS23" s="29"/>
      <c r="BT23" s="29">
        <v>32.6</v>
      </c>
      <c r="BU23" s="29">
        <v>21</v>
      </c>
      <c r="BV23" s="29"/>
      <c r="BW23" s="29">
        <v>11.8</v>
      </c>
      <c r="BX23" s="29">
        <v>6.5</v>
      </c>
      <c r="BY23" s="29"/>
      <c r="BZ23" s="29">
        <v>5.7</v>
      </c>
      <c r="CA23" s="29">
        <v>6.4</v>
      </c>
      <c r="CB23" s="30"/>
      <c r="CC23" s="28">
        <v>7.1</v>
      </c>
      <c r="CD23" s="29">
        <v>31.1</v>
      </c>
      <c r="CE23" s="29">
        <v>32.9</v>
      </c>
      <c r="CF23" s="29">
        <v>9</v>
      </c>
      <c r="CG23" s="29"/>
      <c r="CH23" s="29"/>
      <c r="CI23" s="78"/>
      <c r="CJ23" s="79"/>
    </row>
    <row r="24" spans="1:88" ht="16.5" customHeight="1">
      <c r="A24" s="592"/>
      <c r="B24" s="3" t="s">
        <v>24</v>
      </c>
      <c r="C24" s="273">
        <v>2734.9</v>
      </c>
      <c r="D24" s="14">
        <v>20</v>
      </c>
      <c r="E24" s="14">
        <f t="shared" si="22"/>
        <v>103.58999999999999</v>
      </c>
      <c r="F24" s="274">
        <v>89.82</v>
      </c>
      <c r="G24" s="274">
        <v>13.77</v>
      </c>
      <c r="H24" s="274">
        <v>20</v>
      </c>
      <c r="I24" s="274">
        <f>19.61+0</f>
        <v>19.61</v>
      </c>
      <c r="J24" s="274"/>
      <c r="K24" s="18"/>
      <c r="L24" s="273">
        <f t="shared" si="26"/>
        <v>598.82</v>
      </c>
      <c r="M24" s="274">
        <v>579.21</v>
      </c>
      <c r="N24" s="274">
        <v>19.61</v>
      </c>
      <c r="O24" s="274"/>
      <c r="P24" s="14">
        <v>4</v>
      </c>
      <c r="Q24" s="14">
        <f t="shared" si="24"/>
        <v>149.705</v>
      </c>
      <c r="R24" s="14"/>
      <c r="S24" s="14">
        <v>940</v>
      </c>
      <c r="T24" s="274">
        <v>26980</v>
      </c>
      <c r="U24" s="274">
        <v>5862</v>
      </c>
      <c r="V24" s="14"/>
      <c r="W24" s="14"/>
      <c r="X24" s="110">
        <v>3.9</v>
      </c>
      <c r="Y24" s="273"/>
      <c r="Z24" s="274"/>
      <c r="AA24" s="274"/>
      <c r="AB24" s="274"/>
      <c r="AC24" s="14"/>
      <c r="AD24" s="274"/>
      <c r="AE24" s="61"/>
      <c r="AF24" s="14"/>
      <c r="AG24" s="14"/>
      <c r="AH24" s="14"/>
      <c r="AI24" s="14"/>
      <c r="AJ24" s="14"/>
      <c r="AK24" s="18"/>
      <c r="AL24" s="273">
        <v>796</v>
      </c>
      <c r="AM24" s="274">
        <v>611</v>
      </c>
      <c r="AN24" s="274">
        <f t="shared" si="27"/>
        <v>5777.005</v>
      </c>
      <c r="AO24" s="14">
        <v>0</v>
      </c>
      <c r="AP24" s="14"/>
      <c r="AQ24" s="14"/>
      <c r="AR24" s="14"/>
      <c r="AS24" s="14"/>
      <c r="AT24" s="14"/>
      <c r="AU24" s="18">
        <v>185</v>
      </c>
      <c r="AV24" s="36"/>
      <c r="AW24" s="68"/>
      <c r="AX24" s="22"/>
      <c r="AY24" s="22"/>
      <c r="AZ24" s="22"/>
      <c r="BA24" s="22"/>
      <c r="BB24" s="22"/>
      <c r="BC24" s="22"/>
      <c r="BD24" s="22"/>
      <c r="BE24" s="22"/>
      <c r="BF24" s="22"/>
      <c r="BG24" s="55"/>
      <c r="BH24" s="39"/>
      <c r="BI24" s="14"/>
      <c r="BJ24" s="14"/>
      <c r="BK24" s="14"/>
      <c r="BL24" s="14"/>
      <c r="BM24" s="14"/>
      <c r="BN24" s="14">
        <f t="shared" si="28"/>
        <v>252.6</v>
      </c>
      <c r="BO24" s="14"/>
      <c r="BP24" s="18">
        <v>252.6</v>
      </c>
      <c r="BQ24" s="28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30"/>
      <c r="CC24" s="28">
        <v>7.2</v>
      </c>
      <c r="CD24" s="29">
        <v>33.3</v>
      </c>
      <c r="CE24" s="29">
        <v>35</v>
      </c>
      <c r="CF24" s="29">
        <v>10.5</v>
      </c>
      <c r="CG24" s="29"/>
      <c r="CH24" s="29"/>
      <c r="CI24" s="78" t="s">
        <v>36</v>
      </c>
      <c r="CJ24" s="79"/>
    </row>
    <row r="25" spans="1:88" ht="16.5" customHeight="1">
      <c r="A25" s="592"/>
      <c r="B25" s="3" t="s">
        <v>25</v>
      </c>
      <c r="C25" s="273">
        <v>8527.7</v>
      </c>
      <c r="D25" s="14">
        <v>25</v>
      </c>
      <c r="E25" s="14">
        <f t="shared" si="22"/>
        <v>1472.34</v>
      </c>
      <c r="F25" s="274">
        <v>1279.06</v>
      </c>
      <c r="G25" s="274">
        <v>193.28</v>
      </c>
      <c r="H25" s="274">
        <v>328</v>
      </c>
      <c r="I25" s="274">
        <f>160.44+167.62</f>
        <v>328.06</v>
      </c>
      <c r="J25" s="274"/>
      <c r="K25" s="18"/>
      <c r="L25" s="273">
        <f t="shared" si="26"/>
        <v>4004.7999999999997</v>
      </c>
      <c r="M25" s="274">
        <v>3844.66</v>
      </c>
      <c r="N25" s="274">
        <v>160.14</v>
      </c>
      <c r="O25" s="274"/>
      <c r="P25" s="14">
        <v>23</v>
      </c>
      <c r="Q25" s="14">
        <f t="shared" si="24"/>
        <v>174.12173913043478</v>
      </c>
      <c r="R25" s="14"/>
      <c r="S25" s="14">
        <v>937</v>
      </c>
      <c r="T25" s="274">
        <v>19907</v>
      </c>
      <c r="U25" s="274">
        <v>80471</v>
      </c>
      <c r="V25" s="14"/>
      <c r="W25" s="14"/>
      <c r="X25" s="110">
        <v>3.8</v>
      </c>
      <c r="Y25" s="273">
        <f>Z25+AA25</f>
        <v>4515.46</v>
      </c>
      <c r="Z25" s="274">
        <v>4347.84</v>
      </c>
      <c r="AA25" s="274">
        <v>167.62</v>
      </c>
      <c r="AB25" s="274"/>
      <c r="AC25" s="14">
        <v>27</v>
      </c>
      <c r="AD25" s="274">
        <f aca="true" t="shared" si="29" ref="AD25:AD30">Y25/AC25</f>
        <v>167.23925925925926</v>
      </c>
      <c r="AE25" s="62"/>
      <c r="AF25" s="14">
        <v>878</v>
      </c>
      <c r="AG25" s="14"/>
      <c r="AH25" s="14"/>
      <c r="AI25" s="14"/>
      <c r="AJ25" s="14"/>
      <c r="AK25" s="18"/>
      <c r="AL25" s="273">
        <v>11231</v>
      </c>
      <c r="AM25" s="274">
        <v>8116</v>
      </c>
      <c r="AN25" s="274">
        <f t="shared" si="27"/>
        <v>76736.78</v>
      </c>
      <c r="AO25" s="14">
        <v>471</v>
      </c>
      <c r="AP25" s="14">
        <v>548.2</v>
      </c>
      <c r="AQ25" s="14">
        <f aca="true" t="shared" si="30" ref="AQ25:AQ30">AP25-AR25</f>
        <v>495.1</v>
      </c>
      <c r="AR25" s="14">
        <v>53.1</v>
      </c>
      <c r="AS25" s="14">
        <v>3362</v>
      </c>
      <c r="AT25" s="14"/>
      <c r="AU25" s="18">
        <v>2644</v>
      </c>
      <c r="AV25" s="36">
        <v>0.5</v>
      </c>
      <c r="AW25" s="68">
        <v>1068</v>
      </c>
      <c r="AX25" s="22">
        <v>59.4</v>
      </c>
      <c r="AY25" s="22">
        <v>32.2</v>
      </c>
      <c r="AZ25" s="22">
        <v>8.4</v>
      </c>
      <c r="BA25" s="22">
        <v>27.5</v>
      </c>
      <c r="BB25" s="22">
        <v>5.6</v>
      </c>
      <c r="BC25" s="22">
        <v>31</v>
      </c>
      <c r="BD25" s="22">
        <v>24.8</v>
      </c>
      <c r="BE25" s="22">
        <v>6.6</v>
      </c>
      <c r="BF25" s="22">
        <v>4.4</v>
      </c>
      <c r="BG25" s="55">
        <v>0</v>
      </c>
      <c r="BH25" s="39">
        <v>32502</v>
      </c>
      <c r="BI25" s="14">
        <v>32613</v>
      </c>
      <c r="BJ25" s="14"/>
      <c r="BK25" s="14">
        <v>179</v>
      </c>
      <c r="BL25" s="14">
        <v>180</v>
      </c>
      <c r="BM25" s="14"/>
      <c r="BN25" s="14">
        <f t="shared" si="28"/>
        <v>340.8</v>
      </c>
      <c r="BO25" s="14"/>
      <c r="BP25" s="18">
        <v>340.8</v>
      </c>
      <c r="BQ25" s="28">
        <v>0.9</v>
      </c>
      <c r="BR25" s="29">
        <v>3.1</v>
      </c>
      <c r="BS25" s="29"/>
      <c r="BT25" s="29">
        <v>29.9</v>
      </c>
      <c r="BU25" s="29">
        <v>14.6</v>
      </c>
      <c r="BV25" s="29"/>
      <c r="BW25" s="29">
        <v>4.4</v>
      </c>
      <c r="BX25" s="29">
        <v>9</v>
      </c>
      <c r="BY25" s="29"/>
      <c r="BZ25" s="29">
        <v>5.9</v>
      </c>
      <c r="CA25" s="29">
        <v>5.1</v>
      </c>
      <c r="CB25" s="30"/>
      <c r="CC25" s="28">
        <v>7.1</v>
      </c>
      <c r="CD25" s="29">
        <v>31.2</v>
      </c>
      <c r="CE25" s="29">
        <v>32.6</v>
      </c>
      <c r="CF25" s="29">
        <v>11</v>
      </c>
      <c r="CG25" s="29">
        <v>0.04</v>
      </c>
      <c r="CH25" s="29">
        <v>0.07</v>
      </c>
      <c r="CI25" s="78" t="s">
        <v>36</v>
      </c>
      <c r="CJ25" s="79" t="s">
        <v>36</v>
      </c>
    </row>
    <row r="26" spans="1:88" ht="16.5" customHeight="1">
      <c r="A26" s="592"/>
      <c r="B26" s="3" t="s">
        <v>26</v>
      </c>
      <c r="C26" s="273">
        <v>7878.7</v>
      </c>
      <c r="D26" s="14">
        <v>26</v>
      </c>
      <c r="E26" s="14">
        <f t="shared" si="22"/>
        <v>1336.0900000000001</v>
      </c>
      <c r="F26" s="274">
        <v>1158.7</v>
      </c>
      <c r="G26" s="274">
        <v>177.39</v>
      </c>
      <c r="H26" s="274">
        <v>782</v>
      </c>
      <c r="I26" s="274">
        <f>61.65+153.58</f>
        <v>215.23000000000002</v>
      </c>
      <c r="J26" s="274">
        <v>567.42</v>
      </c>
      <c r="K26" s="18"/>
      <c r="L26" s="273">
        <f t="shared" si="26"/>
        <v>3149.2200000000003</v>
      </c>
      <c r="M26" s="274">
        <v>3088.07</v>
      </c>
      <c r="N26" s="274">
        <v>61.15</v>
      </c>
      <c r="O26" s="274"/>
      <c r="P26" s="14">
        <v>19</v>
      </c>
      <c r="Q26" s="14">
        <f t="shared" si="24"/>
        <v>165.74842105263158</v>
      </c>
      <c r="R26" s="14"/>
      <c r="S26" s="14">
        <v>897</v>
      </c>
      <c r="T26" s="274">
        <v>4357</v>
      </c>
      <c r="U26" s="274">
        <v>73216</v>
      </c>
      <c r="V26" s="14"/>
      <c r="W26" s="14"/>
      <c r="X26" s="110">
        <v>3.8</v>
      </c>
      <c r="Y26" s="273">
        <f>Z26+AA26</f>
        <v>4623.610000000001</v>
      </c>
      <c r="Z26" s="274">
        <v>4470.43</v>
      </c>
      <c r="AA26" s="274">
        <v>153.18</v>
      </c>
      <c r="AB26" s="274"/>
      <c r="AC26" s="14">
        <v>26</v>
      </c>
      <c r="AD26" s="274">
        <f t="shared" si="29"/>
        <v>177.83115384615388</v>
      </c>
      <c r="AE26" s="62"/>
      <c r="AF26" s="14">
        <v>887</v>
      </c>
      <c r="AG26" s="14"/>
      <c r="AH26" s="14"/>
      <c r="AI26" s="14"/>
      <c r="AJ26" s="14"/>
      <c r="AK26" s="18"/>
      <c r="AL26" s="273">
        <v>10061</v>
      </c>
      <c r="AM26" s="274">
        <v>6510</v>
      </c>
      <c r="AN26" s="274">
        <f t="shared" si="27"/>
        <v>61552.05</v>
      </c>
      <c r="AO26" s="14">
        <v>103</v>
      </c>
      <c r="AP26" s="14">
        <v>119.7</v>
      </c>
      <c r="AQ26" s="14">
        <f t="shared" si="30"/>
        <v>118.8</v>
      </c>
      <c r="AR26" s="14">
        <v>0.9</v>
      </c>
      <c r="AS26" s="14">
        <v>252</v>
      </c>
      <c r="AT26" s="14"/>
      <c r="AU26" s="18">
        <v>3448</v>
      </c>
      <c r="AV26" s="36">
        <v>0.46</v>
      </c>
      <c r="AW26" s="68">
        <v>1399</v>
      </c>
      <c r="AX26" s="22">
        <v>55.8</v>
      </c>
      <c r="AY26" s="22">
        <v>34.9</v>
      </c>
      <c r="AZ26" s="22">
        <v>9.3</v>
      </c>
      <c r="BA26" s="22">
        <v>23.6</v>
      </c>
      <c r="BB26" s="22">
        <v>4.1</v>
      </c>
      <c r="BC26" s="22">
        <v>13.9</v>
      </c>
      <c r="BD26" s="22">
        <v>47.3</v>
      </c>
      <c r="BE26" s="22">
        <v>6.4</v>
      </c>
      <c r="BF26" s="22">
        <v>4.7</v>
      </c>
      <c r="BG26" s="55">
        <v>0</v>
      </c>
      <c r="BH26" s="39">
        <v>32172</v>
      </c>
      <c r="BI26" s="14">
        <v>32594</v>
      </c>
      <c r="BJ26" s="14"/>
      <c r="BK26" s="14">
        <v>182</v>
      </c>
      <c r="BL26" s="14">
        <v>181</v>
      </c>
      <c r="BM26" s="14"/>
      <c r="BN26" s="14">
        <f t="shared" si="28"/>
        <v>275.7</v>
      </c>
      <c r="BO26" s="14"/>
      <c r="BP26" s="18">
        <v>275.7</v>
      </c>
      <c r="BQ26" s="28">
        <v>3</v>
      </c>
      <c r="BR26" s="29">
        <v>1.4</v>
      </c>
      <c r="BS26" s="29"/>
      <c r="BT26" s="29">
        <v>34.9</v>
      </c>
      <c r="BU26" s="29">
        <v>1.6</v>
      </c>
      <c r="BV26" s="29"/>
      <c r="BW26" s="29">
        <v>13</v>
      </c>
      <c r="BX26" s="29">
        <v>13.2</v>
      </c>
      <c r="BY26" s="29"/>
      <c r="BZ26" s="29">
        <v>5.6</v>
      </c>
      <c r="CA26" s="29">
        <v>5.7</v>
      </c>
      <c r="CB26" s="30"/>
      <c r="CC26" s="28">
        <v>7.1</v>
      </c>
      <c r="CD26" s="29">
        <v>50.6</v>
      </c>
      <c r="CE26" s="29">
        <v>46.1</v>
      </c>
      <c r="CF26" s="29">
        <v>11</v>
      </c>
      <c r="CG26" s="29">
        <v>0.03</v>
      </c>
      <c r="CH26" s="29">
        <v>0.03</v>
      </c>
      <c r="CI26" s="78" t="s">
        <v>36</v>
      </c>
      <c r="CJ26" s="79" t="s">
        <v>36</v>
      </c>
    </row>
    <row r="27" spans="1:88" ht="16.5" customHeight="1">
      <c r="A27" s="592"/>
      <c r="B27" s="3" t="s">
        <v>27</v>
      </c>
      <c r="C27" s="273">
        <v>7506.6</v>
      </c>
      <c r="D27" s="14">
        <v>23</v>
      </c>
      <c r="E27" s="14">
        <f t="shared" si="22"/>
        <v>1193.83</v>
      </c>
      <c r="F27" s="274">
        <v>987.21</v>
      </c>
      <c r="G27" s="274">
        <v>206.62</v>
      </c>
      <c r="H27" s="274">
        <v>304</v>
      </c>
      <c r="I27" s="274">
        <f>226.12+78.16</f>
        <v>304.28</v>
      </c>
      <c r="J27" s="274"/>
      <c r="K27" s="18"/>
      <c r="L27" s="273">
        <f t="shared" si="26"/>
        <v>5451.76</v>
      </c>
      <c r="M27" s="274">
        <v>5225.64</v>
      </c>
      <c r="N27" s="274">
        <v>226.12</v>
      </c>
      <c r="O27" s="274"/>
      <c r="P27" s="14">
        <v>30</v>
      </c>
      <c r="Q27" s="14">
        <f t="shared" si="24"/>
        <v>181.72533333333334</v>
      </c>
      <c r="R27" s="14"/>
      <c r="S27" s="14">
        <v>936</v>
      </c>
      <c r="T27" s="274">
        <v>2220</v>
      </c>
      <c r="U27" s="274">
        <v>68255</v>
      </c>
      <c r="V27" s="14"/>
      <c r="W27" s="14"/>
      <c r="X27" s="111">
        <v>4</v>
      </c>
      <c r="Y27" s="273">
        <f>Z27+AA27</f>
        <v>1586.9</v>
      </c>
      <c r="Z27" s="274">
        <v>1508.74</v>
      </c>
      <c r="AA27" s="274">
        <v>78.16</v>
      </c>
      <c r="AB27" s="274"/>
      <c r="AC27" s="14">
        <v>10</v>
      </c>
      <c r="AD27" s="274">
        <f t="shared" si="29"/>
        <v>158.69</v>
      </c>
      <c r="AE27" s="62"/>
      <c r="AF27" s="14">
        <v>944</v>
      </c>
      <c r="AG27" s="14"/>
      <c r="AH27" s="14"/>
      <c r="AI27" s="14"/>
      <c r="AJ27" s="14"/>
      <c r="AK27" s="18"/>
      <c r="AL27" s="273">
        <v>9610</v>
      </c>
      <c r="AM27" s="274">
        <v>6648</v>
      </c>
      <c r="AN27" s="274">
        <f t="shared" si="27"/>
        <v>62856.840000000004</v>
      </c>
      <c r="AO27" s="14">
        <v>120</v>
      </c>
      <c r="AP27" s="14">
        <v>139.3</v>
      </c>
      <c r="AQ27" s="14">
        <f t="shared" si="30"/>
        <v>127.60000000000001</v>
      </c>
      <c r="AR27" s="14">
        <v>11.7</v>
      </c>
      <c r="AS27" s="14">
        <v>631</v>
      </c>
      <c r="AT27" s="14"/>
      <c r="AU27" s="18">
        <v>2842</v>
      </c>
      <c r="AV27" s="36">
        <v>0.46</v>
      </c>
      <c r="AW27" s="68">
        <v>1829</v>
      </c>
      <c r="AX27" s="22">
        <v>45.4</v>
      </c>
      <c r="AY27" s="22">
        <v>42.1</v>
      </c>
      <c r="AZ27" s="22">
        <v>12.5</v>
      </c>
      <c r="BA27" s="22">
        <v>25.5</v>
      </c>
      <c r="BB27" s="22">
        <v>4.5</v>
      </c>
      <c r="BC27" s="22">
        <v>25.6</v>
      </c>
      <c r="BD27" s="22">
        <v>30.2</v>
      </c>
      <c r="BE27" s="22">
        <v>7.4</v>
      </c>
      <c r="BF27" s="22">
        <v>6.8</v>
      </c>
      <c r="BG27" s="55">
        <v>0</v>
      </c>
      <c r="BH27" s="39">
        <v>36265</v>
      </c>
      <c r="BI27" s="14">
        <v>36982</v>
      </c>
      <c r="BJ27" s="14"/>
      <c r="BK27" s="14">
        <v>181</v>
      </c>
      <c r="BL27" s="14">
        <v>183</v>
      </c>
      <c r="BM27" s="14"/>
      <c r="BN27" s="14">
        <f t="shared" si="28"/>
        <v>268.5</v>
      </c>
      <c r="BO27" s="14"/>
      <c r="BP27" s="18">
        <v>268.5</v>
      </c>
      <c r="BQ27" s="28">
        <v>1.6</v>
      </c>
      <c r="BR27" s="29">
        <v>1.3</v>
      </c>
      <c r="BS27" s="29"/>
      <c r="BT27" s="29">
        <v>35.7</v>
      </c>
      <c r="BU27" s="29">
        <v>17.1</v>
      </c>
      <c r="BV27" s="29"/>
      <c r="BW27" s="29">
        <v>8</v>
      </c>
      <c r="BX27" s="29">
        <v>7.6</v>
      </c>
      <c r="BY27" s="29"/>
      <c r="BZ27" s="29">
        <v>5.1</v>
      </c>
      <c r="CA27" s="29">
        <v>6.4</v>
      </c>
      <c r="CB27" s="30"/>
      <c r="CC27" s="28">
        <v>7</v>
      </c>
      <c r="CD27" s="29">
        <v>48.4</v>
      </c>
      <c r="CE27" s="29">
        <v>41.2</v>
      </c>
      <c r="CF27" s="29">
        <v>10</v>
      </c>
      <c r="CG27" s="29">
        <v>0.11</v>
      </c>
      <c r="CH27" s="29">
        <v>0.19</v>
      </c>
      <c r="CI27" s="78" t="s">
        <v>36</v>
      </c>
      <c r="CJ27" s="79" t="s">
        <v>36</v>
      </c>
    </row>
    <row r="28" spans="1:88" ht="16.5" customHeight="1">
      <c r="A28" s="592"/>
      <c r="B28" s="3" t="s">
        <v>28</v>
      </c>
      <c r="C28" s="273">
        <v>7380.7</v>
      </c>
      <c r="D28" s="14">
        <v>25</v>
      </c>
      <c r="E28" s="14">
        <f t="shared" si="22"/>
        <v>1218</v>
      </c>
      <c r="F28" s="274">
        <v>1013.55</v>
      </c>
      <c r="G28" s="274">
        <v>204.45</v>
      </c>
      <c r="H28" s="274">
        <v>210</v>
      </c>
      <c r="I28" s="274">
        <f>138.47+71.05</f>
        <v>209.51999999999998</v>
      </c>
      <c r="J28" s="274"/>
      <c r="K28" s="18"/>
      <c r="L28" s="273">
        <f t="shared" si="26"/>
        <v>2641.3</v>
      </c>
      <c r="M28" s="274">
        <v>2570.25</v>
      </c>
      <c r="N28" s="274">
        <v>71.05</v>
      </c>
      <c r="O28" s="274"/>
      <c r="P28" s="14">
        <v>16</v>
      </c>
      <c r="Q28" s="14">
        <f t="shared" si="24"/>
        <v>165.08125</v>
      </c>
      <c r="R28" s="14"/>
      <c r="S28" s="14">
        <v>916</v>
      </c>
      <c r="T28" s="274">
        <v>1353</v>
      </c>
      <c r="U28" s="274">
        <v>79363</v>
      </c>
      <c r="V28" s="14"/>
      <c r="W28" s="14"/>
      <c r="X28" s="110">
        <v>4.2</v>
      </c>
      <c r="Y28" s="273">
        <f>Z28+AA28</f>
        <v>5210.543</v>
      </c>
      <c r="Z28" s="274">
        <v>5072.07</v>
      </c>
      <c r="AA28" s="274">
        <v>138.473</v>
      </c>
      <c r="AB28" s="274"/>
      <c r="AC28" s="14">
        <v>31</v>
      </c>
      <c r="AD28" s="274">
        <f t="shared" si="29"/>
        <v>168.08203225806452</v>
      </c>
      <c r="AE28" s="62"/>
      <c r="AF28" s="14">
        <v>880</v>
      </c>
      <c r="AG28" s="14"/>
      <c r="AH28" s="14"/>
      <c r="AI28" s="14"/>
      <c r="AJ28" s="14"/>
      <c r="AK28" s="18"/>
      <c r="AL28" s="273">
        <v>11295</v>
      </c>
      <c r="AM28" s="274">
        <v>7969</v>
      </c>
      <c r="AN28" s="274">
        <f t="shared" si="27"/>
        <v>75346.895</v>
      </c>
      <c r="AO28" s="14">
        <v>381</v>
      </c>
      <c r="AP28" s="14">
        <v>442.5</v>
      </c>
      <c r="AQ28" s="14">
        <f t="shared" si="30"/>
        <v>398.7</v>
      </c>
      <c r="AR28" s="14">
        <v>43.8</v>
      </c>
      <c r="AS28" s="14">
        <v>2074</v>
      </c>
      <c r="AT28" s="14"/>
      <c r="AU28" s="18">
        <v>2945</v>
      </c>
      <c r="AV28" s="36">
        <v>0.42</v>
      </c>
      <c r="AW28" s="68">
        <v>1345</v>
      </c>
      <c r="AX28" s="22">
        <v>57.4</v>
      </c>
      <c r="AY28" s="22">
        <v>32.6</v>
      </c>
      <c r="AZ28" s="22">
        <v>10</v>
      </c>
      <c r="BA28" s="22">
        <v>19.9</v>
      </c>
      <c r="BB28" s="22">
        <v>7.8</v>
      </c>
      <c r="BC28" s="22">
        <v>13.2</v>
      </c>
      <c r="BD28" s="22">
        <v>49.4</v>
      </c>
      <c r="BE28" s="22">
        <v>3.7</v>
      </c>
      <c r="BF28" s="22">
        <v>5.9</v>
      </c>
      <c r="BG28" s="55">
        <v>0.1</v>
      </c>
      <c r="BH28" s="39">
        <v>36785</v>
      </c>
      <c r="BI28" s="14">
        <v>36594</v>
      </c>
      <c r="BJ28" s="14"/>
      <c r="BK28" s="14">
        <v>179</v>
      </c>
      <c r="BL28" s="14">
        <v>179</v>
      </c>
      <c r="BM28" s="14"/>
      <c r="BN28" s="14">
        <f t="shared" si="28"/>
        <v>242.7</v>
      </c>
      <c r="BO28" s="14"/>
      <c r="BP28" s="18">
        <v>242.7</v>
      </c>
      <c r="BQ28" s="28">
        <v>1.7</v>
      </c>
      <c r="BR28" s="29">
        <v>1.7</v>
      </c>
      <c r="BS28" s="29"/>
      <c r="BT28" s="29">
        <v>31.9</v>
      </c>
      <c r="BU28" s="29">
        <v>40.5</v>
      </c>
      <c r="BV28" s="29"/>
      <c r="BW28" s="29">
        <v>8.3</v>
      </c>
      <c r="BX28" s="29">
        <v>8.2</v>
      </c>
      <c r="BY28" s="29"/>
      <c r="BZ28" s="29">
        <v>4.9</v>
      </c>
      <c r="CA28" s="29">
        <v>5.8</v>
      </c>
      <c r="CB28" s="30"/>
      <c r="CC28" s="28">
        <v>7.2</v>
      </c>
      <c r="CD28" s="29">
        <v>47.8</v>
      </c>
      <c r="CE28" s="29">
        <v>40.8</v>
      </c>
      <c r="CF28" s="29">
        <v>10.5</v>
      </c>
      <c r="CG28" s="29">
        <v>0.05</v>
      </c>
      <c r="CH28" s="29">
        <v>0.17</v>
      </c>
      <c r="CI28" s="78" t="s">
        <v>36</v>
      </c>
      <c r="CJ28" s="79" t="s">
        <v>36</v>
      </c>
    </row>
    <row r="29" spans="1:88" ht="16.5" customHeight="1">
      <c r="A29" s="592"/>
      <c r="B29" s="3" t="s">
        <v>29</v>
      </c>
      <c r="C29" s="273">
        <v>7622</v>
      </c>
      <c r="D29" s="14">
        <v>26</v>
      </c>
      <c r="E29" s="14">
        <f t="shared" si="22"/>
        <v>1041.3</v>
      </c>
      <c r="F29" s="274">
        <v>846.36</v>
      </c>
      <c r="G29" s="274">
        <v>194.94</v>
      </c>
      <c r="H29" s="274">
        <v>171</v>
      </c>
      <c r="I29" s="440">
        <f>64.52+106.2</f>
        <v>170.72</v>
      </c>
      <c r="J29" s="274"/>
      <c r="K29" s="18"/>
      <c r="L29" s="273">
        <f t="shared" si="26"/>
        <v>3032.33</v>
      </c>
      <c r="M29" s="274">
        <v>2967.81</v>
      </c>
      <c r="N29" s="274">
        <v>64.52</v>
      </c>
      <c r="O29" s="274"/>
      <c r="P29" s="14">
        <v>18</v>
      </c>
      <c r="Q29" s="14">
        <f t="shared" si="24"/>
        <v>168.46277777777777</v>
      </c>
      <c r="R29" s="14"/>
      <c r="S29" s="14">
        <v>920</v>
      </c>
      <c r="T29" s="274">
        <v>5748</v>
      </c>
      <c r="U29" s="274">
        <v>84752</v>
      </c>
      <c r="V29" s="14"/>
      <c r="W29" s="14"/>
      <c r="X29" s="110">
        <v>4.2</v>
      </c>
      <c r="Y29" s="273">
        <f>Z29+AA29</f>
        <v>5185.25</v>
      </c>
      <c r="Z29" s="274">
        <v>5079.05</v>
      </c>
      <c r="AA29" s="274">
        <v>106.2</v>
      </c>
      <c r="AB29" s="274"/>
      <c r="AC29" s="14">
        <v>30</v>
      </c>
      <c r="AD29" s="274">
        <f t="shared" si="29"/>
        <v>172.84166666666667</v>
      </c>
      <c r="AE29" s="62"/>
      <c r="AF29" s="14">
        <v>925</v>
      </c>
      <c r="AG29" s="14"/>
      <c r="AH29" s="14"/>
      <c r="AI29" s="14"/>
      <c r="AJ29" s="14"/>
      <c r="AK29" s="18"/>
      <c r="AL29" s="273">
        <v>11659</v>
      </c>
      <c r="AM29" s="274">
        <v>7833</v>
      </c>
      <c r="AN29" s="274">
        <f t="shared" si="27"/>
        <v>74061.015</v>
      </c>
      <c r="AO29" s="14">
        <v>415</v>
      </c>
      <c r="AP29" s="14">
        <v>482.5</v>
      </c>
      <c r="AQ29" s="14">
        <f t="shared" si="30"/>
        <v>437.1</v>
      </c>
      <c r="AR29" s="14">
        <v>45.4</v>
      </c>
      <c r="AS29" s="14">
        <v>2611</v>
      </c>
      <c r="AT29" s="14"/>
      <c r="AU29" s="18">
        <v>3411</v>
      </c>
      <c r="AV29" s="36">
        <v>0.42</v>
      </c>
      <c r="AW29" s="68">
        <v>1631</v>
      </c>
      <c r="AX29" s="22">
        <v>50.3</v>
      </c>
      <c r="AY29" s="22">
        <v>37.3</v>
      </c>
      <c r="AZ29" s="22">
        <v>12.4</v>
      </c>
      <c r="BA29" s="22">
        <v>24.4</v>
      </c>
      <c r="BB29" s="22">
        <v>6.1</v>
      </c>
      <c r="BC29" s="22">
        <v>16.3</v>
      </c>
      <c r="BD29" s="22">
        <v>41</v>
      </c>
      <c r="BE29" s="22">
        <v>6.8</v>
      </c>
      <c r="BF29" s="22">
        <v>5.4</v>
      </c>
      <c r="BG29" s="55">
        <v>0</v>
      </c>
      <c r="BH29" s="39">
        <v>33128</v>
      </c>
      <c r="BI29" s="14">
        <v>34871</v>
      </c>
      <c r="BJ29" s="14"/>
      <c r="BK29" s="14">
        <v>180</v>
      </c>
      <c r="BL29" s="14">
        <v>182</v>
      </c>
      <c r="BM29" s="14"/>
      <c r="BN29" s="14">
        <f t="shared" si="28"/>
        <v>284.1</v>
      </c>
      <c r="BO29" s="14"/>
      <c r="BP29" s="18">
        <v>284.1</v>
      </c>
      <c r="BQ29" s="28">
        <v>1.1</v>
      </c>
      <c r="BR29" s="29">
        <v>2.7</v>
      </c>
      <c r="BS29" s="29"/>
      <c r="BT29" s="29">
        <v>34.9</v>
      </c>
      <c r="BU29" s="29">
        <v>41.8</v>
      </c>
      <c r="BV29" s="29"/>
      <c r="BW29" s="29">
        <v>4.8</v>
      </c>
      <c r="BX29" s="29">
        <v>7</v>
      </c>
      <c r="BY29" s="29"/>
      <c r="BZ29" s="29">
        <v>4.4</v>
      </c>
      <c r="CA29" s="29">
        <v>5.3</v>
      </c>
      <c r="CB29" s="30"/>
      <c r="CC29" s="28">
        <v>7</v>
      </c>
      <c r="CD29" s="29">
        <v>46.5</v>
      </c>
      <c r="CE29" s="29">
        <v>43</v>
      </c>
      <c r="CF29" s="29">
        <v>11.5</v>
      </c>
      <c r="CG29" s="29">
        <v>0.31</v>
      </c>
      <c r="CH29" s="29">
        <v>0.11</v>
      </c>
      <c r="CI29" s="78" t="s">
        <v>36</v>
      </c>
      <c r="CJ29" s="79" t="s">
        <v>36</v>
      </c>
    </row>
    <row r="30" spans="1:88" ht="16.5" customHeight="1" thickBot="1">
      <c r="A30" s="593"/>
      <c r="B30" s="4" t="s">
        <v>30</v>
      </c>
      <c r="C30" s="276">
        <v>7716.1</v>
      </c>
      <c r="D30" s="15">
        <v>25</v>
      </c>
      <c r="E30" s="15">
        <f t="shared" si="22"/>
        <v>977.58</v>
      </c>
      <c r="F30" s="277">
        <v>776.61</v>
      </c>
      <c r="G30" s="277">
        <v>200.97</v>
      </c>
      <c r="H30" s="277">
        <v>88</v>
      </c>
      <c r="I30" s="277">
        <f>82.35+5.74</f>
        <v>88.08999999999999</v>
      </c>
      <c r="J30" s="277"/>
      <c r="K30" s="19"/>
      <c r="L30" s="276">
        <f t="shared" si="26"/>
        <v>5585.620000000001</v>
      </c>
      <c r="M30" s="277">
        <v>5503.27</v>
      </c>
      <c r="N30" s="277">
        <v>82.35</v>
      </c>
      <c r="O30" s="277"/>
      <c r="P30" s="15">
        <v>31</v>
      </c>
      <c r="Q30" s="15">
        <f t="shared" si="24"/>
        <v>180.18129032258068</v>
      </c>
      <c r="R30" s="15"/>
      <c r="S30" s="15">
        <v>897</v>
      </c>
      <c r="T30" s="277">
        <v>25103</v>
      </c>
      <c r="U30" s="277">
        <v>76791</v>
      </c>
      <c r="V30" s="15"/>
      <c r="W30" s="15"/>
      <c r="X30" s="113">
        <v>3.7</v>
      </c>
      <c r="Y30" s="276">
        <f>AA30+Z30</f>
        <v>1474.6</v>
      </c>
      <c r="Z30" s="277">
        <v>1468.86</v>
      </c>
      <c r="AA30" s="277">
        <v>5.74</v>
      </c>
      <c r="AB30" s="277"/>
      <c r="AC30" s="15">
        <v>9</v>
      </c>
      <c r="AD30" s="277">
        <f t="shared" si="29"/>
        <v>163.84444444444443</v>
      </c>
      <c r="AE30" s="421"/>
      <c r="AF30" s="15">
        <v>897</v>
      </c>
      <c r="AG30" s="15"/>
      <c r="AH30" s="15"/>
      <c r="AI30" s="15"/>
      <c r="AJ30" s="15"/>
      <c r="AK30" s="19"/>
      <c r="AL30" s="276">
        <v>9136</v>
      </c>
      <c r="AM30" s="277">
        <v>5799</v>
      </c>
      <c r="AN30" s="277">
        <f t="shared" si="27"/>
        <v>54829.545</v>
      </c>
      <c r="AO30" s="15">
        <v>184</v>
      </c>
      <c r="AP30" s="15">
        <v>213.8</v>
      </c>
      <c r="AQ30" s="15">
        <f t="shared" si="30"/>
        <v>205.5</v>
      </c>
      <c r="AR30" s="15">
        <v>8.3</v>
      </c>
      <c r="AS30" s="15">
        <v>620</v>
      </c>
      <c r="AT30" s="15"/>
      <c r="AU30" s="19">
        <v>3153</v>
      </c>
      <c r="AV30" s="65">
        <v>0.39</v>
      </c>
      <c r="AW30" s="69">
        <v>1567</v>
      </c>
      <c r="AX30" s="43">
        <v>54.9</v>
      </c>
      <c r="AY30" s="43">
        <v>35.4</v>
      </c>
      <c r="AZ30" s="43">
        <v>9.7</v>
      </c>
      <c r="BA30" s="43">
        <v>28.4</v>
      </c>
      <c r="BB30" s="43">
        <v>4.4</v>
      </c>
      <c r="BC30" s="43">
        <v>19.1</v>
      </c>
      <c r="BD30" s="43">
        <v>40.1</v>
      </c>
      <c r="BE30" s="43">
        <v>2.2</v>
      </c>
      <c r="BF30" s="43">
        <v>6.1</v>
      </c>
      <c r="BG30" s="71">
        <v>0</v>
      </c>
      <c r="BH30" s="40">
        <v>34072</v>
      </c>
      <c r="BI30" s="15">
        <v>33891</v>
      </c>
      <c r="BJ30" s="15"/>
      <c r="BK30" s="15">
        <v>183</v>
      </c>
      <c r="BL30" s="15">
        <v>181</v>
      </c>
      <c r="BM30" s="15"/>
      <c r="BN30" s="15">
        <f t="shared" si="28"/>
        <v>315.9</v>
      </c>
      <c r="BO30" s="15"/>
      <c r="BP30" s="19">
        <v>315.9</v>
      </c>
      <c r="BQ30" s="42">
        <v>2</v>
      </c>
      <c r="BR30" s="31">
        <v>1.5</v>
      </c>
      <c r="BS30" s="31"/>
      <c r="BT30" s="31">
        <v>33.6</v>
      </c>
      <c r="BU30" s="31">
        <v>42.8</v>
      </c>
      <c r="BV30" s="31"/>
      <c r="BW30" s="31">
        <v>6.8</v>
      </c>
      <c r="BX30" s="31">
        <v>3.6</v>
      </c>
      <c r="BY30" s="31"/>
      <c r="BZ30" s="31">
        <v>4.7</v>
      </c>
      <c r="CA30" s="31">
        <v>5.5</v>
      </c>
      <c r="CB30" s="73"/>
      <c r="CC30" s="42">
        <v>7.1</v>
      </c>
      <c r="CD30" s="31">
        <v>40.9</v>
      </c>
      <c r="CE30" s="31">
        <v>42.8</v>
      </c>
      <c r="CF30" s="31">
        <v>11</v>
      </c>
      <c r="CG30" s="31">
        <v>0.06</v>
      </c>
      <c r="CH30" s="31">
        <v>0.13</v>
      </c>
      <c r="CI30" s="80" t="s">
        <v>36</v>
      </c>
      <c r="CJ30" s="81" t="s">
        <v>36</v>
      </c>
    </row>
    <row r="31" spans="1:88" ht="16.5" customHeight="1">
      <c r="A31" s="590" t="s">
        <v>52</v>
      </c>
      <c r="B31" s="2" t="s">
        <v>48</v>
      </c>
      <c r="C31" s="91">
        <f aca="true" t="shared" si="31" ref="C31:K31">SUM(C32:C43)</f>
        <v>87482.84000000001</v>
      </c>
      <c r="D31" s="92">
        <f t="shared" si="31"/>
        <v>284</v>
      </c>
      <c r="E31" s="92">
        <f t="shared" si="31"/>
        <v>11018.500000000002</v>
      </c>
      <c r="F31" s="92">
        <f t="shared" si="31"/>
        <v>10245.3</v>
      </c>
      <c r="G31" s="92">
        <f t="shared" si="31"/>
        <v>773.2</v>
      </c>
      <c r="H31" s="47">
        <f>SUM(H32:H43)</f>
        <v>7219</v>
      </c>
      <c r="I31" s="92">
        <f t="shared" si="31"/>
        <v>0</v>
      </c>
      <c r="J31" s="92">
        <f>SUM(J32:J43)+1</f>
        <v>7218.919999999999</v>
      </c>
      <c r="K31" s="214">
        <f t="shared" si="31"/>
        <v>0</v>
      </c>
      <c r="L31" s="91">
        <f>SUM(L32:L43)</f>
        <v>47035.96</v>
      </c>
      <c r="M31" s="92">
        <f>SUM(M32:M43)</f>
        <v>47035.96</v>
      </c>
      <c r="N31" s="106"/>
      <c r="O31" s="106"/>
      <c r="P31" s="106">
        <f>SUM(P32:P43)</f>
        <v>206</v>
      </c>
      <c r="Q31" s="107">
        <f>SUM(Q32:Q43)/8</f>
        <v>228.4184336173189</v>
      </c>
      <c r="R31" s="105">
        <f>((L31/P31)*(P31/347))/400*100</f>
        <v>33.88757925072046</v>
      </c>
      <c r="S31" s="107">
        <f>SUM(S32:S43)/8</f>
        <v>920.125</v>
      </c>
      <c r="T31" s="92">
        <f>SUM(T32:T43)</f>
        <v>118036</v>
      </c>
      <c r="U31" s="92">
        <f>SUM(U32:U43)</f>
        <v>725174</v>
      </c>
      <c r="V31" s="107"/>
      <c r="W31" s="106"/>
      <c r="X31" s="108">
        <f>SUM(X32:X43)/12</f>
        <v>3.733333333333333</v>
      </c>
      <c r="Y31" s="91">
        <f>SUM(Y32:Y43)</f>
        <v>33689.82</v>
      </c>
      <c r="Z31" s="92">
        <f>SUM(Z32:Z43)</f>
        <v>33689.82</v>
      </c>
      <c r="AA31" s="92"/>
      <c r="AB31" s="92"/>
      <c r="AC31" s="92">
        <f>SUM(AC32:AC43)</f>
        <v>141</v>
      </c>
      <c r="AD31" s="92">
        <f>SUM(AD32:AD43)/6</f>
        <v>238.00298259088584</v>
      </c>
      <c r="AE31" s="92">
        <f>((Y31/AC31)*(AC31/347))/400*100</f>
        <v>24.27220461095101</v>
      </c>
      <c r="AF31" s="92">
        <f>SUM(AF32:AF43)/6</f>
        <v>927.1666666666666</v>
      </c>
      <c r="AG31" s="92">
        <f>SUM(AG32:AG43)</f>
        <v>81863</v>
      </c>
      <c r="AH31" s="92">
        <f>SUM(AH32:AH43)</f>
        <v>595707</v>
      </c>
      <c r="AI31" s="92"/>
      <c r="AJ31" s="92"/>
      <c r="AK31" s="214"/>
      <c r="AL31" s="49">
        <f>SUM(AL32:AL43)</f>
        <v>171397</v>
      </c>
      <c r="AM31" s="50">
        <f>SUM(AM32:AM43)</f>
        <v>95300</v>
      </c>
      <c r="AN31" s="50">
        <f>SUM(AN32:AN43)</f>
        <v>901061.5</v>
      </c>
      <c r="AO31" s="114"/>
      <c r="AP31" s="114"/>
      <c r="AQ31" s="114"/>
      <c r="AR31" s="114"/>
      <c r="AS31" s="114"/>
      <c r="AT31" s="114"/>
      <c r="AU31" s="51">
        <f>SUM(AU32:AU43)</f>
        <v>76097</v>
      </c>
      <c r="AV31" s="120">
        <f aca="true" t="shared" si="32" ref="AV31:BG31">SUM(AV32:AV43)/12</f>
        <v>0.36274999999999996</v>
      </c>
      <c r="AW31" s="47">
        <f t="shared" si="32"/>
        <v>1210.1666666666667</v>
      </c>
      <c r="AX31" s="20">
        <f t="shared" si="32"/>
        <v>52.774999999999984</v>
      </c>
      <c r="AY31" s="20">
        <f t="shared" si="32"/>
        <v>34.62500000000001</v>
      </c>
      <c r="AZ31" s="20">
        <f t="shared" si="32"/>
        <v>12.6</v>
      </c>
      <c r="BA31" s="20">
        <f t="shared" si="32"/>
        <v>26.375</v>
      </c>
      <c r="BB31" s="20">
        <f t="shared" si="32"/>
        <v>3.2583333333333333</v>
      </c>
      <c r="BC31" s="20">
        <f t="shared" si="32"/>
        <v>16.825</v>
      </c>
      <c r="BD31" s="20">
        <f t="shared" si="32"/>
        <v>46.583333333333336</v>
      </c>
      <c r="BE31" s="20">
        <f t="shared" si="32"/>
        <v>4.058333333333334</v>
      </c>
      <c r="BF31" s="20">
        <f t="shared" si="32"/>
        <v>2.8333333333333335</v>
      </c>
      <c r="BG31" s="53">
        <f t="shared" si="32"/>
        <v>0.05833333333333333</v>
      </c>
      <c r="BH31" s="124">
        <f>SUM(BH32:BH43)/8</f>
        <v>37140</v>
      </c>
      <c r="BI31" s="125">
        <f>SUM(BI32:BI43)/6</f>
        <v>42503.666666666664</v>
      </c>
      <c r="BJ31" s="126"/>
      <c r="BK31" s="125">
        <f>SUM(BK32:BK43)/8</f>
        <v>195.25</v>
      </c>
      <c r="BL31" s="125">
        <f>SUM(BL32:BL43)/6</f>
        <v>190.16666666666666</v>
      </c>
      <c r="BM31" s="127"/>
      <c r="BN31" s="127">
        <f>SUM(BN32:BN43)</f>
        <v>6717</v>
      </c>
      <c r="BO31" s="127"/>
      <c r="BP31" s="128">
        <f>SUM(BP32:BP43)</f>
        <v>6717</v>
      </c>
      <c r="BQ31" s="23">
        <f>SUM(BQ32:BQ43)/8</f>
        <v>2.75875</v>
      </c>
      <c r="BR31" s="24">
        <f>SUM(BR32:BR43)/6</f>
        <v>1.34</v>
      </c>
      <c r="BS31" s="24"/>
      <c r="BT31" s="24">
        <f>SUM(BT32:BT43)/8</f>
        <v>33.755</v>
      </c>
      <c r="BU31" s="24">
        <f>SUM(BU32:BU43)/6</f>
        <v>38.72</v>
      </c>
      <c r="BV31" s="24"/>
      <c r="BW31" s="24">
        <f>SUM(BW32:BW43)/8</f>
        <v>0.10875</v>
      </c>
      <c r="BX31" s="24">
        <f>SUM(BX32:BX43)/6</f>
        <v>0.5516666666666666</v>
      </c>
      <c r="BY31" s="24"/>
      <c r="BZ31" s="24">
        <f>SUM(BZ32:BZ43)/8</f>
        <v>5.91125</v>
      </c>
      <c r="CA31" s="24">
        <f>SUM(CA32:CA43)/6</f>
        <v>8.171666666666669</v>
      </c>
      <c r="CB31" s="25"/>
      <c r="CC31" s="23">
        <f aca="true" t="shared" si="33" ref="CC31:CJ31">SUM(CC32:CC43)/12</f>
        <v>7.364999999999998</v>
      </c>
      <c r="CD31" s="24">
        <f t="shared" si="33"/>
        <v>4.8125</v>
      </c>
      <c r="CE31" s="24">
        <f t="shared" si="33"/>
        <v>9.425</v>
      </c>
      <c r="CF31" s="24">
        <f t="shared" si="33"/>
        <v>7.9375</v>
      </c>
      <c r="CG31" s="24">
        <f t="shared" si="33"/>
        <v>0.006916666666666667</v>
      </c>
      <c r="CH31" s="24">
        <f t="shared" si="33"/>
        <v>0.03166666666666667</v>
      </c>
      <c r="CI31" s="24">
        <f t="shared" si="33"/>
        <v>0</v>
      </c>
      <c r="CJ31" s="25">
        <f t="shared" si="33"/>
        <v>0.004333333333333333</v>
      </c>
    </row>
    <row r="32" spans="1:88" ht="16.5" customHeight="1">
      <c r="A32" s="591"/>
      <c r="B32" s="3" t="s">
        <v>19</v>
      </c>
      <c r="C32" s="95">
        <v>7172.65</v>
      </c>
      <c r="D32" s="32">
        <v>25</v>
      </c>
      <c r="E32" s="32">
        <f aca="true" t="shared" si="34" ref="E32:E43">SUM(F32:G32)</f>
        <v>1086.2</v>
      </c>
      <c r="F32" s="32">
        <v>1016.4</v>
      </c>
      <c r="G32" s="32">
        <v>69.8</v>
      </c>
      <c r="H32" s="32">
        <v>563</v>
      </c>
      <c r="I32" s="32"/>
      <c r="J32" s="32">
        <v>563.03</v>
      </c>
      <c r="K32" s="97">
        <v>0</v>
      </c>
      <c r="L32" s="95">
        <f>SUM(M32:O32)</f>
        <v>7127.21</v>
      </c>
      <c r="M32" s="32">
        <v>7127.21</v>
      </c>
      <c r="N32" s="100"/>
      <c r="O32" s="100"/>
      <c r="P32" s="100">
        <v>31</v>
      </c>
      <c r="Q32" s="101">
        <f>L32/P32</f>
        <v>229.91</v>
      </c>
      <c r="R32" s="102">
        <f>Q32/400*100</f>
        <v>57.477500000000006</v>
      </c>
      <c r="S32" s="100">
        <v>908</v>
      </c>
      <c r="T32" s="32">
        <v>41793</v>
      </c>
      <c r="U32" s="32">
        <v>114967</v>
      </c>
      <c r="V32" s="100"/>
      <c r="W32" s="100"/>
      <c r="X32" s="109">
        <v>3.2</v>
      </c>
      <c r="Y32" s="95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152"/>
      <c r="AL32" s="115">
        <v>14184</v>
      </c>
      <c r="AM32" s="13">
        <v>6971</v>
      </c>
      <c r="AN32" s="13">
        <f aca="true" t="shared" si="35" ref="AN32:AN43">AM32*9455*0.001</f>
        <v>65910.80500000001</v>
      </c>
      <c r="AO32" s="116"/>
      <c r="AP32" s="116"/>
      <c r="AQ32" s="116"/>
      <c r="AR32" s="116"/>
      <c r="AS32" s="116"/>
      <c r="AT32" s="116"/>
      <c r="AU32" s="17">
        <f aca="true" t="shared" si="36" ref="AU32:AU43">AL32-AM32</f>
        <v>7213</v>
      </c>
      <c r="AV32" s="121">
        <v>0.45</v>
      </c>
      <c r="AW32" s="13">
        <v>1136</v>
      </c>
      <c r="AX32" s="21">
        <v>57.7</v>
      </c>
      <c r="AY32" s="21">
        <v>31</v>
      </c>
      <c r="AZ32" s="21">
        <v>11.3</v>
      </c>
      <c r="BA32" s="21">
        <v>26.8</v>
      </c>
      <c r="BB32" s="21">
        <v>0.4</v>
      </c>
      <c r="BC32" s="21">
        <v>17</v>
      </c>
      <c r="BD32" s="21">
        <v>50.3</v>
      </c>
      <c r="BE32" s="21">
        <v>4.6</v>
      </c>
      <c r="BF32" s="21">
        <v>0.8</v>
      </c>
      <c r="BG32" s="54">
        <v>0.1</v>
      </c>
      <c r="BH32" s="13">
        <v>25796</v>
      </c>
      <c r="BI32" s="13"/>
      <c r="BJ32" s="129"/>
      <c r="BK32" s="116">
        <v>198</v>
      </c>
      <c r="BL32" s="116"/>
      <c r="BM32" s="116"/>
      <c r="BN32" s="116">
        <f aca="true" t="shared" si="37" ref="BN32:BN43">SUM(BO32:BP32)</f>
        <v>479</v>
      </c>
      <c r="BO32" s="116"/>
      <c r="BP32" s="119">
        <v>479</v>
      </c>
      <c r="BQ32" s="26">
        <v>3.17</v>
      </c>
      <c r="BR32" s="27"/>
      <c r="BS32" s="27"/>
      <c r="BT32" s="27">
        <v>40.38</v>
      </c>
      <c r="BU32" s="27"/>
      <c r="BV32" s="27"/>
      <c r="BW32" s="27">
        <v>0.03</v>
      </c>
      <c r="BX32" s="27"/>
      <c r="BY32" s="27"/>
      <c r="BZ32" s="27">
        <v>6.43</v>
      </c>
      <c r="CA32" s="27"/>
      <c r="CB32" s="44"/>
      <c r="CC32" s="28">
        <v>7.81</v>
      </c>
      <c r="CD32" s="29">
        <v>3.3</v>
      </c>
      <c r="CE32" s="29">
        <v>7.4</v>
      </c>
      <c r="CF32" s="29">
        <v>7.8</v>
      </c>
      <c r="CG32" s="29">
        <v>0.015</v>
      </c>
      <c r="CH32" s="29">
        <v>0.115</v>
      </c>
      <c r="CI32" s="29">
        <v>0</v>
      </c>
      <c r="CJ32" s="30">
        <v>0</v>
      </c>
    </row>
    <row r="33" spans="1:88" ht="16.5" customHeight="1">
      <c r="A33" s="591"/>
      <c r="B33" s="3" t="s">
        <v>20</v>
      </c>
      <c r="C33" s="95">
        <v>7408.02</v>
      </c>
      <c r="D33" s="32">
        <v>23</v>
      </c>
      <c r="E33" s="32">
        <f t="shared" si="34"/>
        <v>983.8000000000001</v>
      </c>
      <c r="F33" s="32">
        <v>917.7</v>
      </c>
      <c r="G33" s="32">
        <v>66.1</v>
      </c>
      <c r="H33" s="32">
        <v>447</v>
      </c>
      <c r="I33" s="32"/>
      <c r="J33" s="32">
        <v>446.59</v>
      </c>
      <c r="K33" s="97"/>
      <c r="L33" s="95">
        <f>SUM(M33:O33)</f>
        <v>6553.9</v>
      </c>
      <c r="M33" s="32">
        <v>6553.9</v>
      </c>
      <c r="N33" s="100"/>
      <c r="O33" s="100"/>
      <c r="P33" s="100">
        <v>29</v>
      </c>
      <c r="Q33" s="101">
        <f>L33/P33</f>
        <v>225.99655172413793</v>
      </c>
      <c r="R33" s="102">
        <f>Q33/400*100</f>
        <v>56.49913793103448</v>
      </c>
      <c r="S33" s="100">
        <v>912</v>
      </c>
      <c r="T33" s="32">
        <v>9025</v>
      </c>
      <c r="U33" s="32">
        <v>108945</v>
      </c>
      <c r="V33" s="100"/>
      <c r="W33" s="100"/>
      <c r="X33" s="109">
        <v>3.2</v>
      </c>
      <c r="Y33" s="95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152"/>
      <c r="AL33" s="117">
        <v>13231</v>
      </c>
      <c r="AM33" s="14">
        <v>6035</v>
      </c>
      <c r="AN33" s="14">
        <f t="shared" si="35"/>
        <v>57060.925</v>
      </c>
      <c r="AO33" s="104"/>
      <c r="AP33" s="104"/>
      <c r="AQ33" s="104"/>
      <c r="AR33" s="104"/>
      <c r="AS33" s="104"/>
      <c r="AT33" s="104"/>
      <c r="AU33" s="18">
        <f t="shared" si="36"/>
        <v>7196</v>
      </c>
      <c r="AV33" s="122">
        <v>0.401</v>
      </c>
      <c r="AW33" s="14">
        <v>1087</v>
      </c>
      <c r="AX33" s="22">
        <v>61.3</v>
      </c>
      <c r="AY33" s="22">
        <v>28.4</v>
      </c>
      <c r="AZ33" s="22">
        <v>10.3</v>
      </c>
      <c r="BA33" s="22">
        <v>20.3</v>
      </c>
      <c r="BB33" s="22">
        <v>0.7</v>
      </c>
      <c r="BC33" s="22">
        <v>17.5</v>
      </c>
      <c r="BD33" s="22">
        <v>55.6</v>
      </c>
      <c r="BE33" s="22">
        <v>2.6</v>
      </c>
      <c r="BF33" s="22">
        <v>3.1</v>
      </c>
      <c r="BG33" s="55">
        <v>0.2</v>
      </c>
      <c r="BH33" s="14">
        <v>25346</v>
      </c>
      <c r="BI33" s="14"/>
      <c r="BJ33" s="61"/>
      <c r="BK33" s="104">
        <v>199</v>
      </c>
      <c r="BL33" s="104"/>
      <c r="BM33" s="104"/>
      <c r="BN33" s="104">
        <f t="shared" si="37"/>
        <v>346</v>
      </c>
      <c r="BO33" s="104"/>
      <c r="BP33" s="110">
        <v>346</v>
      </c>
      <c r="BQ33" s="28">
        <v>2.92</v>
      </c>
      <c r="BR33" s="29"/>
      <c r="BS33" s="29"/>
      <c r="BT33" s="29">
        <v>39.14</v>
      </c>
      <c r="BU33" s="29"/>
      <c r="BV33" s="29"/>
      <c r="BW33" s="29">
        <v>0</v>
      </c>
      <c r="BX33" s="29"/>
      <c r="BY33" s="29"/>
      <c r="BZ33" s="29">
        <v>6.18</v>
      </c>
      <c r="CA33" s="29"/>
      <c r="CB33" s="30"/>
      <c r="CC33" s="28">
        <v>7.43</v>
      </c>
      <c r="CD33" s="29">
        <v>1.8</v>
      </c>
      <c r="CE33" s="29">
        <v>5.7</v>
      </c>
      <c r="CF33" s="29">
        <v>8.3</v>
      </c>
      <c r="CG33" s="29">
        <v>0.034</v>
      </c>
      <c r="CH33" s="29">
        <v>0</v>
      </c>
      <c r="CI33" s="29">
        <v>0</v>
      </c>
      <c r="CJ33" s="30">
        <v>0.008</v>
      </c>
    </row>
    <row r="34" spans="1:88" ht="16.5" customHeight="1">
      <c r="A34" s="592"/>
      <c r="B34" s="3" t="s">
        <v>21</v>
      </c>
      <c r="C34" s="95">
        <v>8197.4</v>
      </c>
      <c r="D34" s="32">
        <v>24</v>
      </c>
      <c r="E34" s="32">
        <f t="shared" si="34"/>
        <v>963.3</v>
      </c>
      <c r="F34" s="32">
        <v>902.9</v>
      </c>
      <c r="G34" s="32">
        <v>60.4</v>
      </c>
      <c r="H34" s="32">
        <v>551</v>
      </c>
      <c r="I34" s="32"/>
      <c r="J34" s="32">
        <v>550.75</v>
      </c>
      <c r="K34" s="97"/>
      <c r="L34" s="95">
        <f>SUM(M34:O34)</f>
        <v>3035.41</v>
      </c>
      <c r="M34" s="32">
        <v>3035.41</v>
      </c>
      <c r="N34" s="100"/>
      <c r="O34" s="100"/>
      <c r="P34" s="100">
        <v>14</v>
      </c>
      <c r="Q34" s="101">
        <f>L34/P34</f>
        <v>216.815</v>
      </c>
      <c r="R34" s="102">
        <f>Q34/400*100</f>
        <v>54.20374999999999</v>
      </c>
      <c r="S34" s="100">
        <v>922</v>
      </c>
      <c r="T34" s="32">
        <v>2977</v>
      </c>
      <c r="U34" s="32">
        <v>47753</v>
      </c>
      <c r="V34" s="100"/>
      <c r="W34" s="100"/>
      <c r="X34" s="109">
        <v>3.3</v>
      </c>
      <c r="Y34" s="95">
        <f aca="true" t="shared" si="38" ref="Y34:Y39">SUM(Z34:AB34)</f>
        <v>3335.46</v>
      </c>
      <c r="Z34" s="32">
        <v>3335.46</v>
      </c>
      <c r="AA34" s="32"/>
      <c r="AB34" s="32"/>
      <c r="AC34" s="32">
        <v>14</v>
      </c>
      <c r="AD34" s="32">
        <f aca="true" t="shared" si="39" ref="AD34:AD39">Y34/AC34</f>
        <v>238.24714285714285</v>
      </c>
      <c r="AE34" s="32">
        <f aca="true" t="shared" si="40" ref="AE34:AE39">AD34/400*100</f>
        <v>59.56178571428571</v>
      </c>
      <c r="AF34" s="32">
        <v>908</v>
      </c>
      <c r="AG34" s="32">
        <v>37672</v>
      </c>
      <c r="AH34" s="32">
        <v>55938</v>
      </c>
      <c r="AI34" s="32"/>
      <c r="AJ34" s="32"/>
      <c r="AK34" s="152"/>
      <c r="AL34" s="117">
        <v>14167</v>
      </c>
      <c r="AM34" s="14">
        <v>8123</v>
      </c>
      <c r="AN34" s="14">
        <f t="shared" si="35"/>
        <v>76802.965</v>
      </c>
      <c r="AO34" s="104"/>
      <c r="AP34" s="104"/>
      <c r="AQ34" s="104"/>
      <c r="AR34" s="104"/>
      <c r="AS34" s="104"/>
      <c r="AT34" s="104"/>
      <c r="AU34" s="18">
        <f t="shared" si="36"/>
        <v>6044</v>
      </c>
      <c r="AV34" s="122">
        <v>0.385</v>
      </c>
      <c r="AW34" s="14">
        <v>1171</v>
      </c>
      <c r="AX34" s="22">
        <v>56.5</v>
      </c>
      <c r="AY34" s="22">
        <v>31.8</v>
      </c>
      <c r="AZ34" s="22">
        <v>11.7</v>
      </c>
      <c r="BA34" s="22">
        <v>28.4</v>
      </c>
      <c r="BB34" s="22">
        <v>1.9</v>
      </c>
      <c r="BC34" s="22">
        <v>12.4</v>
      </c>
      <c r="BD34" s="22">
        <v>51.3</v>
      </c>
      <c r="BE34" s="22">
        <v>2.8</v>
      </c>
      <c r="BF34" s="22">
        <v>3.2</v>
      </c>
      <c r="BG34" s="55">
        <v>0</v>
      </c>
      <c r="BH34" s="14">
        <v>22345</v>
      </c>
      <c r="BI34" s="14">
        <v>40402</v>
      </c>
      <c r="BJ34" s="61"/>
      <c r="BK34" s="104">
        <v>196</v>
      </c>
      <c r="BL34" s="104">
        <v>190</v>
      </c>
      <c r="BM34" s="104"/>
      <c r="BN34" s="104">
        <f t="shared" si="37"/>
        <v>355</v>
      </c>
      <c r="BO34" s="104"/>
      <c r="BP34" s="110">
        <v>355</v>
      </c>
      <c r="BQ34" s="28">
        <v>3.48</v>
      </c>
      <c r="BR34" s="29">
        <v>0.77</v>
      </c>
      <c r="BS34" s="29"/>
      <c r="BT34" s="29">
        <v>36.24</v>
      </c>
      <c r="BU34" s="29">
        <v>34.52</v>
      </c>
      <c r="BV34" s="29"/>
      <c r="BW34" s="29">
        <v>0.25</v>
      </c>
      <c r="BX34" s="29">
        <v>0</v>
      </c>
      <c r="BY34" s="29"/>
      <c r="BZ34" s="29">
        <v>6.13</v>
      </c>
      <c r="CA34" s="29">
        <v>5.41</v>
      </c>
      <c r="CB34" s="30"/>
      <c r="CC34" s="28">
        <v>7.96</v>
      </c>
      <c r="CD34" s="29">
        <v>2.05</v>
      </c>
      <c r="CE34" s="29">
        <v>4.9</v>
      </c>
      <c r="CF34" s="29">
        <v>6.85</v>
      </c>
      <c r="CG34" s="29">
        <v>0.025</v>
      </c>
      <c r="CH34" s="29">
        <v>0.065</v>
      </c>
      <c r="CI34" s="29">
        <v>0</v>
      </c>
      <c r="CJ34" s="30">
        <v>0</v>
      </c>
    </row>
    <row r="35" spans="1:88" ht="16.5" customHeight="1">
      <c r="A35" s="592"/>
      <c r="B35" s="3" t="s">
        <v>22</v>
      </c>
      <c r="C35" s="95">
        <v>7754.28</v>
      </c>
      <c r="D35" s="32">
        <v>23</v>
      </c>
      <c r="E35" s="32">
        <f t="shared" si="34"/>
        <v>1070.4</v>
      </c>
      <c r="F35" s="32">
        <v>995.7</v>
      </c>
      <c r="G35" s="32">
        <v>74.7</v>
      </c>
      <c r="H35" s="32">
        <v>840</v>
      </c>
      <c r="I35" s="32"/>
      <c r="J35" s="32">
        <v>840.33</v>
      </c>
      <c r="K35" s="97"/>
      <c r="L35" s="95"/>
      <c r="M35" s="32"/>
      <c r="N35" s="100"/>
      <c r="O35" s="100"/>
      <c r="P35" s="100"/>
      <c r="Q35" s="101"/>
      <c r="R35" s="102"/>
      <c r="S35" s="100"/>
      <c r="T35" s="32"/>
      <c r="U35" s="32"/>
      <c r="V35" s="100"/>
      <c r="W35" s="100"/>
      <c r="X35" s="109">
        <v>3.4</v>
      </c>
      <c r="Y35" s="95">
        <f t="shared" si="38"/>
        <v>6938.61</v>
      </c>
      <c r="Z35" s="32">
        <v>6938.61</v>
      </c>
      <c r="AA35" s="32"/>
      <c r="AB35" s="32"/>
      <c r="AC35" s="32">
        <v>30</v>
      </c>
      <c r="AD35" s="32">
        <f t="shared" si="39"/>
        <v>231.28699999999998</v>
      </c>
      <c r="AE35" s="32">
        <f t="shared" si="40"/>
        <v>57.821749999999994</v>
      </c>
      <c r="AF35" s="32">
        <v>933</v>
      </c>
      <c r="AG35" s="32">
        <v>29342</v>
      </c>
      <c r="AH35" s="32">
        <v>133688</v>
      </c>
      <c r="AI35" s="32"/>
      <c r="AJ35" s="32"/>
      <c r="AK35" s="152"/>
      <c r="AL35" s="117">
        <v>16224</v>
      </c>
      <c r="AM35" s="14">
        <v>10018</v>
      </c>
      <c r="AN35" s="14">
        <f t="shared" si="35"/>
        <v>94720.19</v>
      </c>
      <c r="AO35" s="104"/>
      <c r="AP35" s="104"/>
      <c r="AQ35" s="104"/>
      <c r="AR35" s="104"/>
      <c r="AS35" s="104"/>
      <c r="AT35" s="104"/>
      <c r="AU35" s="18">
        <f t="shared" si="36"/>
        <v>6206</v>
      </c>
      <c r="AV35" s="122">
        <v>0.371</v>
      </c>
      <c r="AW35" s="14">
        <v>1211</v>
      </c>
      <c r="AX35" s="22">
        <v>56.1</v>
      </c>
      <c r="AY35" s="22">
        <v>32.5</v>
      </c>
      <c r="AZ35" s="22">
        <v>11.4</v>
      </c>
      <c r="BA35" s="22">
        <v>24.8</v>
      </c>
      <c r="BB35" s="22">
        <v>4.6</v>
      </c>
      <c r="BC35" s="22">
        <v>13.5</v>
      </c>
      <c r="BD35" s="22">
        <v>50.4</v>
      </c>
      <c r="BE35" s="22">
        <v>4.2</v>
      </c>
      <c r="BF35" s="22">
        <v>2.5</v>
      </c>
      <c r="BG35" s="55">
        <v>0</v>
      </c>
      <c r="BH35" s="14"/>
      <c r="BI35" s="14">
        <v>45067</v>
      </c>
      <c r="BJ35" s="61"/>
      <c r="BK35" s="104"/>
      <c r="BL35" s="104">
        <v>194</v>
      </c>
      <c r="BM35" s="104"/>
      <c r="BN35" s="104">
        <f t="shared" si="37"/>
        <v>570</v>
      </c>
      <c r="BO35" s="104"/>
      <c r="BP35" s="110">
        <v>570</v>
      </c>
      <c r="BQ35" s="28"/>
      <c r="BR35" s="29">
        <v>1.1</v>
      </c>
      <c r="BS35" s="29"/>
      <c r="BT35" s="29"/>
      <c r="BU35" s="29">
        <v>40.79</v>
      </c>
      <c r="BV35" s="29"/>
      <c r="BW35" s="29"/>
      <c r="BX35" s="29">
        <v>0</v>
      </c>
      <c r="BY35" s="29"/>
      <c r="BZ35" s="29"/>
      <c r="CA35" s="29">
        <v>7.14</v>
      </c>
      <c r="CB35" s="30"/>
      <c r="CC35" s="28">
        <v>8.155</v>
      </c>
      <c r="CD35" s="29">
        <v>1.15</v>
      </c>
      <c r="CE35" s="29">
        <v>3.4</v>
      </c>
      <c r="CF35" s="29">
        <v>2.4</v>
      </c>
      <c r="CG35" s="29">
        <v>0</v>
      </c>
      <c r="CH35" s="29">
        <v>0.035</v>
      </c>
      <c r="CI35" s="29">
        <v>0</v>
      </c>
      <c r="CJ35" s="30">
        <v>0.036</v>
      </c>
    </row>
    <row r="36" spans="1:88" ht="16.5" customHeight="1">
      <c r="A36" s="592"/>
      <c r="B36" s="3" t="s">
        <v>23</v>
      </c>
      <c r="C36" s="95">
        <v>8767.19</v>
      </c>
      <c r="D36" s="32">
        <v>24</v>
      </c>
      <c r="E36" s="32">
        <f t="shared" si="34"/>
        <v>1103.4</v>
      </c>
      <c r="F36" s="32">
        <v>1033.2</v>
      </c>
      <c r="G36" s="32">
        <v>70.2</v>
      </c>
      <c r="H36" s="32">
        <v>1245</v>
      </c>
      <c r="I36" s="32"/>
      <c r="J36" s="32">
        <v>1245.25</v>
      </c>
      <c r="K36" s="97"/>
      <c r="L36" s="95"/>
      <c r="M36" s="32"/>
      <c r="N36" s="100"/>
      <c r="O36" s="100"/>
      <c r="P36" s="100"/>
      <c r="Q36" s="101"/>
      <c r="R36" s="102"/>
      <c r="S36" s="100"/>
      <c r="T36" s="32"/>
      <c r="U36" s="32"/>
      <c r="V36" s="100"/>
      <c r="W36" s="100"/>
      <c r="X36" s="109">
        <v>3.8</v>
      </c>
      <c r="Y36" s="95">
        <f t="shared" si="38"/>
        <v>6936.62</v>
      </c>
      <c r="Z36" s="32">
        <v>6936.62</v>
      </c>
      <c r="AA36" s="32"/>
      <c r="AB36" s="32"/>
      <c r="AC36" s="32">
        <v>31</v>
      </c>
      <c r="AD36" s="32">
        <f t="shared" si="39"/>
        <v>223.76193548387096</v>
      </c>
      <c r="AE36" s="32">
        <f t="shared" si="40"/>
        <v>55.94048387096774</v>
      </c>
      <c r="AF36" s="32">
        <v>940</v>
      </c>
      <c r="AG36" s="32">
        <v>6045</v>
      </c>
      <c r="AH36" s="32">
        <v>130205</v>
      </c>
      <c r="AI36" s="32"/>
      <c r="AJ36" s="32"/>
      <c r="AK36" s="152"/>
      <c r="AL36" s="117">
        <v>16430</v>
      </c>
      <c r="AM36" s="14">
        <v>9360</v>
      </c>
      <c r="AN36" s="14">
        <f t="shared" si="35"/>
        <v>88498.8</v>
      </c>
      <c r="AO36" s="104"/>
      <c r="AP36" s="104"/>
      <c r="AQ36" s="104"/>
      <c r="AR36" s="104"/>
      <c r="AS36" s="104"/>
      <c r="AT36" s="104"/>
      <c r="AU36" s="18">
        <f t="shared" si="36"/>
        <v>7070</v>
      </c>
      <c r="AV36" s="122">
        <v>0.36</v>
      </c>
      <c r="AW36" s="14">
        <v>1251</v>
      </c>
      <c r="AX36" s="22">
        <v>54.1</v>
      </c>
      <c r="AY36" s="22">
        <v>33.7</v>
      </c>
      <c r="AZ36" s="22">
        <v>12.2</v>
      </c>
      <c r="BA36" s="22">
        <v>26.6</v>
      </c>
      <c r="BB36" s="22">
        <v>3.4</v>
      </c>
      <c r="BC36" s="22">
        <v>13.3</v>
      </c>
      <c r="BD36" s="22">
        <v>52.2</v>
      </c>
      <c r="BE36" s="22">
        <v>2.9</v>
      </c>
      <c r="BF36" s="22">
        <v>1.5</v>
      </c>
      <c r="BG36" s="55">
        <v>0</v>
      </c>
      <c r="BH36" s="14"/>
      <c r="BI36" s="14">
        <v>44537</v>
      </c>
      <c r="BJ36" s="61"/>
      <c r="BK36" s="104"/>
      <c r="BL36" s="104">
        <v>194</v>
      </c>
      <c r="BM36" s="104"/>
      <c r="BN36" s="104">
        <f t="shared" si="37"/>
        <v>569</v>
      </c>
      <c r="BO36" s="104"/>
      <c r="BP36" s="110">
        <v>569</v>
      </c>
      <c r="BQ36" s="28"/>
      <c r="BR36" s="29">
        <v>1.33</v>
      </c>
      <c r="BS36" s="29"/>
      <c r="BT36" s="29"/>
      <c r="BU36" s="29">
        <v>38.32</v>
      </c>
      <c r="BV36" s="29"/>
      <c r="BW36" s="29"/>
      <c r="BX36" s="29">
        <v>0.02</v>
      </c>
      <c r="BY36" s="29"/>
      <c r="BZ36" s="29"/>
      <c r="CA36" s="29">
        <v>8.99</v>
      </c>
      <c r="CB36" s="30"/>
      <c r="CC36" s="28">
        <v>7.325</v>
      </c>
      <c r="CD36" s="29">
        <v>1.4</v>
      </c>
      <c r="CE36" s="29">
        <v>3.55</v>
      </c>
      <c r="CF36" s="29">
        <v>8.15</v>
      </c>
      <c r="CG36" s="29">
        <v>0.009</v>
      </c>
      <c r="CH36" s="29">
        <v>0.165</v>
      </c>
      <c r="CI36" s="29">
        <v>0</v>
      </c>
      <c r="CJ36" s="30">
        <v>0.008</v>
      </c>
    </row>
    <row r="37" spans="1:88" ht="16.5" customHeight="1">
      <c r="A37" s="592"/>
      <c r="B37" s="3" t="s">
        <v>24</v>
      </c>
      <c r="C37" s="95">
        <v>8037.48</v>
      </c>
      <c r="D37" s="32">
        <v>25</v>
      </c>
      <c r="E37" s="32">
        <f t="shared" si="34"/>
        <v>1230.6</v>
      </c>
      <c r="F37" s="32">
        <v>1157.5</v>
      </c>
      <c r="G37" s="32">
        <v>73.1</v>
      </c>
      <c r="H37" s="32">
        <v>1071</v>
      </c>
      <c r="I37" s="32"/>
      <c r="J37" s="32">
        <v>1071.2</v>
      </c>
      <c r="K37" s="97"/>
      <c r="L37" s="95"/>
      <c r="M37" s="32"/>
      <c r="N37" s="100"/>
      <c r="O37" s="100"/>
      <c r="P37" s="100"/>
      <c r="Q37" s="101"/>
      <c r="R37" s="102"/>
      <c r="S37" s="100"/>
      <c r="T37" s="32"/>
      <c r="U37" s="32"/>
      <c r="V37" s="100"/>
      <c r="W37" s="100"/>
      <c r="X37" s="109">
        <v>4</v>
      </c>
      <c r="Y37" s="95">
        <f t="shared" si="38"/>
        <v>7885.63</v>
      </c>
      <c r="Z37" s="32">
        <v>7885.63</v>
      </c>
      <c r="AA37" s="32"/>
      <c r="AB37" s="32"/>
      <c r="AC37" s="32">
        <v>30</v>
      </c>
      <c r="AD37" s="32">
        <f t="shared" si="39"/>
        <v>262.85433333333333</v>
      </c>
      <c r="AE37" s="32">
        <f t="shared" si="40"/>
        <v>65.71358333333333</v>
      </c>
      <c r="AF37" s="32">
        <v>932</v>
      </c>
      <c r="AG37" s="32">
        <v>2224</v>
      </c>
      <c r="AH37" s="32">
        <v>122856</v>
      </c>
      <c r="AI37" s="32"/>
      <c r="AJ37" s="32"/>
      <c r="AK37" s="152"/>
      <c r="AL37" s="117">
        <v>16047</v>
      </c>
      <c r="AM37" s="14">
        <v>8975</v>
      </c>
      <c r="AN37" s="14">
        <f t="shared" si="35"/>
        <v>84858.625</v>
      </c>
      <c r="AO37" s="104"/>
      <c r="AP37" s="104"/>
      <c r="AQ37" s="104"/>
      <c r="AR37" s="104"/>
      <c r="AS37" s="104"/>
      <c r="AT37" s="104"/>
      <c r="AU37" s="18">
        <f t="shared" si="36"/>
        <v>7072</v>
      </c>
      <c r="AV37" s="122">
        <v>0.344</v>
      </c>
      <c r="AW37" s="14">
        <v>1221</v>
      </c>
      <c r="AX37" s="22">
        <v>50.9</v>
      </c>
      <c r="AY37" s="22">
        <v>36.2</v>
      </c>
      <c r="AZ37" s="22">
        <v>12.9</v>
      </c>
      <c r="BA37" s="22">
        <v>27.9</v>
      </c>
      <c r="BB37" s="22">
        <v>2.9</v>
      </c>
      <c r="BC37" s="22">
        <v>17.6</v>
      </c>
      <c r="BD37" s="22">
        <v>45.6</v>
      </c>
      <c r="BE37" s="22">
        <v>4.5</v>
      </c>
      <c r="BF37" s="22">
        <v>1.3</v>
      </c>
      <c r="BG37" s="55">
        <v>0.2</v>
      </c>
      <c r="BH37" s="14"/>
      <c r="BI37" s="14">
        <v>43829</v>
      </c>
      <c r="BJ37" s="61"/>
      <c r="BK37" s="104"/>
      <c r="BL37" s="104">
        <v>187</v>
      </c>
      <c r="BM37" s="104"/>
      <c r="BN37" s="104">
        <f t="shared" si="37"/>
        <v>516</v>
      </c>
      <c r="BO37" s="104"/>
      <c r="BP37" s="110">
        <v>516</v>
      </c>
      <c r="BQ37" s="28"/>
      <c r="BR37" s="29">
        <v>2.2</v>
      </c>
      <c r="BS37" s="29"/>
      <c r="BT37" s="29"/>
      <c r="BU37" s="29">
        <v>43.41</v>
      </c>
      <c r="BV37" s="29"/>
      <c r="BW37" s="29"/>
      <c r="BX37" s="29">
        <v>0.19</v>
      </c>
      <c r="BY37" s="29"/>
      <c r="BZ37" s="29"/>
      <c r="CA37" s="29">
        <v>11.41</v>
      </c>
      <c r="CB37" s="30"/>
      <c r="CC37" s="28">
        <v>7.1</v>
      </c>
      <c r="CD37" s="29">
        <v>4.45</v>
      </c>
      <c r="CE37" s="29">
        <v>9</v>
      </c>
      <c r="CF37" s="29">
        <v>12.25</v>
      </c>
      <c r="CG37" s="29">
        <v>0</v>
      </c>
      <c r="CH37" s="29">
        <v>0</v>
      </c>
      <c r="CI37" s="29">
        <v>0</v>
      </c>
      <c r="CJ37" s="30">
        <v>0</v>
      </c>
    </row>
    <row r="38" spans="1:88" ht="16.5" customHeight="1">
      <c r="A38" s="592"/>
      <c r="B38" s="3" t="s">
        <v>25</v>
      </c>
      <c r="C38" s="95">
        <v>7790.37</v>
      </c>
      <c r="D38" s="32">
        <v>25</v>
      </c>
      <c r="E38" s="32">
        <f t="shared" si="34"/>
        <v>1076.5</v>
      </c>
      <c r="F38" s="32">
        <v>1009.8</v>
      </c>
      <c r="G38" s="32">
        <v>66.7</v>
      </c>
      <c r="H38" s="32">
        <v>1099</v>
      </c>
      <c r="I38" s="32"/>
      <c r="J38" s="32">
        <v>1098.58</v>
      </c>
      <c r="K38" s="97"/>
      <c r="L38" s="95"/>
      <c r="M38" s="32"/>
      <c r="N38" s="100"/>
      <c r="O38" s="100"/>
      <c r="P38" s="100"/>
      <c r="Q38" s="101"/>
      <c r="R38" s="102"/>
      <c r="S38" s="100"/>
      <c r="T38" s="32"/>
      <c r="U38" s="32"/>
      <c r="V38" s="100"/>
      <c r="W38" s="100"/>
      <c r="X38" s="109">
        <v>3.7</v>
      </c>
      <c r="Y38" s="95">
        <f t="shared" si="38"/>
        <v>7433.04</v>
      </c>
      <c r="Z38" s="32">
        <v>7433.04</v>
      </c>
      <c r="AA38" s="32"/>
      <c r="AB38" s="32"/>
      <c r="AC38" s="32">
        <v>31</v>
      </c>
      <c r="AD38" s="32">
        <f t="shared" si="39"/>
        <v>239.77548387096775</v>
      </c>
      <c r="AE38" s="32">
        <f t="shared" si="40"/>
        <v>59.943870967741944</v>
      </c>
      <c r="AF38" s="32">
        <v>924</v>
      </c>
      <c r="AG38" s="32">
        <v>3654</v>
      </c>
      <c r="AH38" s="32">
        <v>130816</v>
      </c>
      <c r="AI38" s="32"/>
      <c r="AJ38" s="32"/>
      <c r="AK38" s="152"/>
      <c r="AL38" s="117">
        <v>16438</v>
      </c>
      <c r="AM38" s="14">
        <v>9090</v>
      </c>
      <c r="AN38" s="14">
        <f t="shared" si="35"/>
        <v>85945.95</v>
      </c>
      <c r="AO38" s="104"/>
      <c r="AP38" s="104"/>
      <c r="AQ38" s="104"/>
      <c r="AR38" s="104"/>
      <c r="AS38" s="104"/>
      <c r="AT38" s="104"/>
      <c r="AU38" s="18">
        <f t="shared" si="36"/>
        <v>7348</v>
      </c>
      <c r="AV38" s="122">
        <v>0.357</v>
      </c>
      <c r="AW38" s="14">
        <v>1236</v>
      </c>
      <c r="AX38" s="22">
        <v>50.4</v>
      </c>
      <c r="AY38" s="22">
        <v>36.3</v>
      </c>
      <c r="AZ38" s="22">
        <v>13.3</v>
      </c>
      <c r="BA38" s="22">
        <v>29.2</v>
      </c>
      <c r="BB38" s="22">
        <v>3.9</v>
      </c>
      <c r="BC38" s="22">
        <v>17.1</v>
      </c>
      <c r="BD38" s="22">
        <v>43</v>
      </c>
      <c r="BE38" s="22">
        <v>4.9</v>
      </c>
      <c r="BF38" s="22">
        <v>1.9</v>
      </c>
      <c r="BG38" s="55">
        <v>0</v>
      </c>
      <c r="BH38" s="14"/>
      <c r="BI38" s="14">
        <v>41621</v>
      </c>
      <c r="BJ38" s="61"/>
      <c r="BK38" s="104"/>
      <c r="BL38" s="104">
        <v>188</v>
      </c>
      <c r="BM38" s="104"/>
      <c r="BN38" s="104">
        <f t="shared" si="37"/>
        <v>625</v>
      </c>
      <c r="BO38" s="104"/>
      <c r="BP38" s="110">
        <v>625</v>
      </c>
      <c r="BQ38" s="28"/>
      <c r="BR38" s="29">
        <v>1.23</v>
      </c>
      <c r="BS38" s="29"/>
      <c r="BT38" s="29"/>
      <c r="BU38" s="29">
        <v>40.86</v>
      </c>
      <c r="BV38" s="29"/>
      <c r="BW38" s="29"/>
      <c r="BX38" s="29">
        <v>2.81</v>
      </c>
      <c r="BY38" s="29"/>
      <c r="BZ38" s="29"/>
      <c r="CA38" s="29">
        <v>8.34</v>
      </c>
      <c r="CB38" s="30"/>
      <c r="CC38" s="28">
        <v>7.1</v>
      </c>
      <c r="CD38" s="29">
        <v>4.5</v>
      </c>
      <c r="CE38" s="29">
        <v>5.9</v>
      </c>
      <c r="CF38" s="29">
        <v>10.25</v>
      </c>
      <c r="CG38" s="29">
        <v>0</v>
      </c>
      <c r="CH38" s="29">
        <v>0</v>
      </c>
      <c r="CI38" s="29">
        <v>0</v>
      </c>
      <c r="CJ38" s="30">
        <v>0</v>
      </c>
    </row>
    <row r="39" spans="1:88" ht="16.5" customHeight="1">
      <c r="A39" s="592"/>
      <c r="B39" s="3" t="s">
        <v>26</v>
      </c>
      <c r="C39" s="95">
        <v>4968.29</v>
      </c>
      <c r="D39" s="32">
        <v>16</v>
      </c>
      <c r="E39" s="32">
        <f t="shared" si="34"/>
        <v>529.7</v>
      </c>
      <c r="F39" s="32">
        <v>493.3</v>
      </c>
      <c r="G39" s="32">
        <v>36.4</v>
      </c>
      <c r="H39" s="32">
        <v>702</v>
      </c>
      <c r="I39" s="32"/>
      <c r="J39" s="32">
        <v>701.68</v>
      </c>
      <c r="K39" s="97"/>
      <c r="L39" s="95">
        <f>SUM(M39:O39)</f>
        <v>2635.56</v>
      </c>
      <c r="M39" s="32">
        <v>2635.56</v>
      </c>
      <c r="N39" s="100"/>
      <c r="O39" s="100"/>
      <c r="P39" s="100">
        <v>11</v>
      </c>
      <c r="Q39" s="101">
        <f aca="true" t="shared" si="41" ref="Q39:Q70">L39/P39</f>
        <v>239.59636363636363</v>
      </c>
      <c r="R39" s="102">
        <f>Q39/400*100</f>
        <v>59.899090909090916</v>
      </c>
      <c r="S39" s="100">
        <v>926</v>
      </c>
      <c r="T39" s="32">
        <v>9279</v>
      </c>
      <c r="U39" s="32">
        <v>37151</v>
      </c>
      <c r="V39" s="100"/>
      <c r="W39" s="100"/>
      <c r="X39" s="109">
        <v>4.2</v>
      </c>
      <c r="Y39" s="95">
        <f t="shared" si="38"/>
        <v>1160.46</v>
      </c>
      <c r="Z39" s="32">
        <v>1160.46</v>
      </c>
      <c r="AA39" s="32"/>
      <c r="AB39" s="32"/>
      <c r="AC39" s="32">
        <v>5</v>
      </c>
      <c r="AD39" s="32">
        <f t="shared" si="39"/>
        <v>232.092</v>
      </c>
      <c r="AE39" s="32">
        <f t="shared" si="40"/>
        <v>58.023</v>
      </c>
      <c r="AF39" s="32">
        <v>926</v>
      </c>
      <c r="AG39" s="32">
        <v>2926</v>
      </c>
      <c r="AH39" s="32">
        <v>22204</v>
      </c>
      <c r="AI39" s="32"/>
      <c r="AJ39" s="32"/>
      <c r="AK39" s="152"/>
      <c r="AL39" s="117">
        <v>8383</v>
      </c>
      <c r="AM39" s="14">
        <v>5033</v>
      </c>
      <c r="AN39" s="14">
        <f t="shared" si="35"/>
        <v>47587.015</v>
      </c>
      <c r="AO39" s="104"/>
      <c r="AP39" s="104"/>
      <c r="AQ39" s="104"/>
      <c r="AR39" s="104"/>
      <c r="AS39" s="104"/>
      <c r="AT39" s="104"/>
      <c r="AU39" s="18">
        <f t="shared" si="36"/>
        <v>3350</v>
      </c>
      <c r="AV39" s="122">
        <v>0.348</v>
      </c>
      <c r="AW39" s="14">
        <v>1204</v>
      </c>
      <c r="AX39" s="22">
        <v>50.8</v>
      </c>
      <c r="AY39" s="22">
        <v>35.9</v>
      </c>
      <c r="AZ39" s="22">
        <v>13.3</v>
      </c>
      <c r="BA39" s="22">
        <v>24.3</v>
      </c>
      <c r="BB39" s="22">
        <v>4.2</v>
      </c>
      <c r="BC39" s="22">
        <v>17.3</v>
      </c>
      <c r="BD39" s="22">
        <v>46.9</v>
      </c>
      <c r="BE39" s="22">
        <v>4.2</v>
      </c>
      <c r="BF39" s="22">
        <v>2.9</v>
      </c>
      <c r="BG39" s="55">
        <v>0.2</v>
      </c>
      <c r="BH39" s="14">
        <v>41094</v>
      </c>
      <c r="BI39" s="14">
        <v>39566</v>
      </c>
      <c r="BJ39" s="61"/>
      <c r="BK39" s="104">
        <v>187</v>
      </c>
      <c r="BL39" s="104">
        <v>188</v>
      </c>
      <c r="BM39" s="104"/>
      <c r="BN39" s="104">
        <f t="shared" si="37"/>
        <v>556</v>
      </c>
      <c r="BO39" s="104"/>
      <c r="BP39" s="110">
        <v>556</v>
      </c>
      <c r="BQ39" s="28">
        <v>4.49</v>
      </c>
      <c r="BR39" s="29">
        <v>1.41</v>
      </c>
      <c r="BS39" s="29"/>
      <c r="BT39" s="29">
        <v>23.96</v>
      </c>
      <c r="BU39" s="29">
        <v>34.42</v>
      </c>
      <c r="BV39" s="29"/>
      <c r="BW39" s="29">
        <v>0.14</v>
      </c>
      <c r="BX39" s="29">
        <v>0.29</v>
      </c>
      <c r="BY39" s="29"/>
      <c r="BZ39" s="29">
        <v>6.45</v>
      </c>
      <c r="CA39" s="29">
        <v>7.74</v>
      </c>
      <c r="CB39" s="30"/>
      <c r="CC39" s="28">
        <v>7.1</v>
      </c>
      <c r="CD39" s="29">
        <v>6.8</v>
      </c>
      <c r="CE39" s="29">
        <v>13.7</v>
      </c>
      <c r="CF39" s="29">
        <v>13.5</v>
      </c>
      <c r="CG39" s="29">
        <v>0</v>
      </c>
      <c r="CH39" s="29">
        <v>0</v>
      </c>
      <c r="CI39" s="29">
        <v>0</v>
      </c>
      <c r="CJ39" s="30">
        <v>0</v>
      </c>
    </row>
    <row r="40" spans="1:88" ht="16.5" customHeight="1">
      <c r="A40" s="592"/>
      <c r="B40" s="3" t="s">
        <v>27</v>
      </c>
      <c r="C40" s="95">
        <v>6949.77</v>
      </c>
      <c r="D40" s="32">
        <v>23</v>
      </c>
      <c r="E40" s="32">
        <f t="shared" si="34"/>
        <v>922.5</v>
      </c>
      <c r="F40" s="32">
        <v>853.3</v>
      </c>
      <c r="G40" s="32">
        <v>69.2</v>
      </c>
      <c r="H40" s="32">
        <v>366</v>
      </c>
      <c r="I40" s="32"/>
      <c r="J40" s="32">
        <v>365.74</v>
      </c>
      <c r="K40" s="97"/>
      <c r="L40" s="95">
        <f>SUM(M40:O40)</f>
        <v>6870.94</v>
      </c>
      <c r="M40" s="32">
        <v>6870.94</v>
      </c>
      <c r="N40" s="100"/>
      <c r="O40" s="100"/>
      <c r="P40" s="100">
        <v>30</v>
      </c>
      <c r="Q40" s="101">
        <f t="shared" si="41"/>
        <v>229.03133333333332</v>
      </c>
      <c r="R40" s="102">
        <f>Q40/400*100</f>
        <v>57.25783333333333</v>
      </c>
      <c r="S40" s="100">
        <v>920</v>
      </c>
      <c r="T40" s="32">
        <v>12560</v>
      </c>
      <c r="U40" s="32">
        <v>101160</v>
      </c>
      <c r="V40" s="100"/>
      <c r="W40" s="100"/>
      <c r="X40" s="109">
        <v>3.9</v>
      </c>
      <c r="Y40" s="95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152"/>
      <c r="AL40" s="117">
        <v>13634</v>
      </c>
      <c r="AM40" s="14">
        <v>8173</v>
      </c>
      <c r="AN40" s="14">
        <f t="shared" si="35"/>
        <v>77275.715</v>
      </c>
      <c r="AO40" s="104"/>
      <c r="AP40" s="104"/>
      <c r="AQ40" s="104"/>
      <c r="AR40" s="104"/>
      <c r="AS40" s="104"/>
      <c r="AT40" s="104"/>
      <c r="AU40" s="18">
        <f t="shared" si="36"/>
        <v>5461</v>
      </c>
      <c r="AV40" s="122">
        <v>0.34</v>
      </c>
      <c r="AW40" s="14">
        <v>1214</v>
      </c>
      <c r="AX40" s="22">
        <v>50</v>
      </c>
      <c r="AY40" s="22">
        <v>36.6</v>
      </c>
      <c r="AZ40" s="22">
        <v>13.4</v>
      </c>
      <c r="BA40" s="22">
        <v>24.8</v>
      </c>
      <c r="BB40" s="22">
        <v>5.3</v>
      </c>
      <c r="BC40" s="22">
        <v>18</v>
      </c>
      <c r="BD40" s="22">
        <v>44.9</v>
      </c>
      <c r="BE40" s="22">
        <v>3.4</v>
      </c>
      <c r="BF40" s="22">
        <v>3.6</v>
      </c>
      <c r="BG40" s="55">
        <v>0</v>
      </c>
      <c r="BH40" s="14">
        <v>60066</v>
      </c>
      <c r="BI40" s="14"/>
      <c r="BJ40" s="61"/>
      <c r="BK40" s="104">
        <v>197</v>
      </c>
      <c r="BL40" s="104"/>
      <c r="BM40" s="104"/>
      <c r="BN40" s="104">
        <f t="shared" si="37"/>
        <v>683</v>
      </c>
      <c r="BO40" s="104"/>
      <c r="BP40" s="110">
        <v>683</v>
      </c>
      <c r="BQ40" s="28">
        <v>3.49</v>
      </c>
      <c r="BR40" s="29"/>
      <c r="BS40" s="29"/>
      <c r="BT40" s="29">
        <v>31.89</v>
      </c>
      <c r="BU40" s="29"/>
      <c r="BV40" s="29"/>
      <c r="BW40" s="29">
        <v>0.15</v>
      </c>
      <c r="BX40" s="29"/>
      <c r="BY40" s="29"/>
      <c r="BZ40" s="29">
        <v>7.7</v>
      </c>
      <c r="CA40" s="29"/>
      <c r="CB40" s="30"/>
      <c r="CC40" s="28">
        <v>7.1</v>
      </c>
      <c r="CD40" s="29">
        <v>6.5</v>
      </c>
      <c r="CE40" s="29">
        <v>17.7</v>
      </c>
      <c r="CF40" s="29">
        <v>7.75</v>
      </c>
      <c r="CG40" s="29">
        <v>0</v>
      </c>
      <c r="CH40" s="29">
        <v>0</v>
      </c>
      <c r="CI40" s="29">
        <v>0</v>
      </c>
      <c r="CJ40" s="30">
        <v>0</v>
      </c>
    </row>
    <row r="41" spans="1:88" ht="16.5" customHeight="1">
      <c r="A41" s="592"/>
      <c r="B41" s="3" t="s">
        <v>28</v>
      </c>
      <c r="C41" s="95">
        <v>6922.17</v>
      </c>
      <c r="D41" s="32">
        <v>25</v>
      </c>
      <c r="E41" s="32">
        <f t="shared" si="34"/>
        <v>596.6999999999999</v>
      </c>
      <c r="F41" s="32">
        <v>533.4</v>
      </c>
      <c r="G41" s="32">
        <v>63.3</v>
      </c>
      <c r="H41" s="32">
        <v>120</v>
      </c>
      <c r="I41" s="32"/>
      <c r="J41" s="32">
        <v>119.59</v>
      </c>
      <c r="K41" s="97"/>
      <c r="L41" s="95">
        <f>SUM(M41:O41)</f>
        <v>6871.43</v>
      </c>
      <c r="M41" s="32">
        <v>6871.43</v>
      </c>
      <c r="N41" s="100"/>
      <c r="O41" s="100"/>
      <c r="P41" s="100">
        <v>31</v>
      </c>
      <c r="Q41" s="101">
        <f t="shared" si="41"/>
        <v>221.6590322580645</v>
      </c>
      <c r="R41" s="102">
        <f>Q41/400*100</f>
        <v>55.41475806451612</v>
      </c>
      <c r="S41" s="100">
        <v>937</v>
      </c>
      <c r="T41" s="32">
        <v>14974</v>
      </c>
      <c r="U41" s="32">
        <v>101606</v>
      </c>
      <c r="V41" s="100"/>
      <c r="W41" s="100"/>
      <c r="X41" s="109">
        <v>3.9</v>
      </c>
      <c r="Y41" s="95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152"/>
      <c r="AL41" s="117">
        <v>14146</v>
      </c>
      <c r="AM41" s="14">
        <v>8114</v>
      </c>
      <c r="AN41" s="14">
        <f t="shared" si="35"/>
        <v>76717.87</v>
      </c>
      <c r="AO41" s="104"/>
      <c r="AP41" s="104"/>
      <c r="AQ41" s="104"/>
      <c r="AR41" s="104"/>
      <c r="AS41" s="104"/>
      <c r="AT41" s="104"/>
      <c r="AU41" s="18">
        <f t="shared" si="36"/>
        <v>6032</v>
      </c>
      <c r="AV41" s="122">
        <v>0.336</v>
      </c>
      <c r="AW41" s="14">
        <v>1263</v>
      </c>
      <c r="AX41" s="22">
        <v>49.4</v>
      </c>
      <c r="AY41" s="22">
        <v>37.4</v>
      </c>
      <c r="AZ41" s="22">
        <v>13.2</v>
      </c>
      <c r="BA41" s="22">
        <v>26.8</v>
      </c>
      <c r="BB41" s="22">
        <v>3</v>
      </c>
      <c r="BC41" s="22">
        <v>19.4</v>
      </c>
      <c r="BD41" s="22">
        <v>40.7</v>
      </c>
      <c r="BE41" s="22">
        <v>5.2</v>
      </c>
      <c r="BF41" s="22">
        <v>4.9</v>
      </c>
      <c r="BG41" s="55">
        <v>0</v>
      </c>
      <c r="BH41" s="14">
        <v>57098</v>
      </c>
      <c r="BI41" s="14"/>
      <c r="BJ41" s="61"/>
      <c r="BK41" s="104">
        <v>196</v>
      </c>
      <c r="BL41" s="104"/>
      <c r="BM41" s="104"/>
      <c r="BN41" s="104">
        <f t="shared" si="37"/>
        <v>804</v>
      </c>
      <c r="BO41" s="104"/>
      <c r="BP41" s="110">
        <v>804</v>
      </c>
      <c r="BQ41" s="28">
        <v>2.05</v>
      </c>
      <c r="BR41" s="29"/>
      <c r="BS41" s="29"/>
      <c r="BT41" s="29">
        <v>28.69</v>
      </c>
      <c r="BU41" s="29"/>
      <c r="BV41" s="29"/>
      <c r="BW41" s="29">
        <v>0.09</v>
      </c>
      <c r="BX41" s="29"/>
      <c r="BY41" s="29"/>
      <c r="BZ41" s="29">
        <v>5.19</v>
      </c>
      <c r="CA41" s="29"/>
      <c r="CB41" s="30"/>
      <c r="CC41" s="28">
        <v>7.1</v>
      </c>
      <c r="CD41" s="29">
        <v>6.05</v>
      </c>
      <c r="CE41" s="29">
        <v>7.65</v>
      </c>
      <c r="CF41" s="29">
        <v>4.75</v>
      </c>
      <c r="CG41" s="29">
        <v>0</v>
      </c>
      <c r="CH41" s="29">
        <v>0</v>
      </c>
      <c r="CI41" s="29">
        <v>0</v>
      </c>
      <c r="CJ41" s="30">
        <v>0</v>
      </c>
    </row>
    <row r="42" spans="1:88" ht="16.5" customHeight="1">
      <c r="A42" s="592"/>
      <c r="B42" s="3" t="s">
        <v>29</v>
      </c>
      <c r="C42" s="95">
        <v>6889.43</v>
      </c>
      <c r="D42" s="32">
        <v>26</v>
      </c>
      <c r="E42" s="32">
        <f t="shared" si="34"/>
        <v>648.6</v>
      </c>
      <c r="F42" s="32">
        <v>593.5</v>
      </c>
      <c r="G42" s="32">
        <v>55.1</v>
      </c>
      <c r="H42" s="32">
        <v>100</v>
      </c>
      <c r="I42" s="32"/>
      <c r="J42" s="32">
        <v>99.74</v>
      </c>
      <c r="K42" s="97"/>
      <c r="L42" s="95">
        <f>SUM(M42:O42)</f>
        <v>6568.57</v>
      </c>
      <c r="M42" s="32">
        <v>6568.57</v>
      </c>
      <c r="N42" s="100"/>
      <c r="O42" s="100"/>
      <c r="P42" s="100">
        <v>29</v>
      </c>
      <c r="Q42" s="101">
        <f t="shared" si="41"/>
        <v>226.50241379310344</v>
      </c>
      <c r="R42" s="102">
        <f>Q42/400*100</f>
        <v>56.62560344827586</v>
      </c>
      <c r="S42" s="100">
        <v>928</v>
      </c>
      <c r="T42" s="32">
        <v>18403</v>
      </c>
      <c r="U42" s="32">
        <v>98387</v>
      </c>
      <c r="V42" s="100"/>
      <c r="W42" s="100"/>
      <c r="X42" s="109">
        <v>4.2</v>
      </c>
      <c r="Y42" s="95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152"/>
      <c r="AL42" s="117">
        <v>13744</v>
      </c>
      <c r="AM42" s="14">
        <v>7656</v>
      </c>
      <c r="AN42" s="14">
        <f t="shared" si="35"/>
        <v>72387.48</v>
      </c>
      <c r="AO42" s="104"/>
      <c r="AP42" s="104"/>
      <c r="AQ42" s="104"/>
      <c r="AR42" s="104"/>
      <c r="AS42" s="104"/>
      <c r="AT42" s="104"/>
      <c r="AU42" s="18">
        <f t="shared" si="36"/>
        <v>6088</v>
      </c>
      <c r="AV42" s="122">
        <v>0.326</v>
      </c>
      <c r="AW42" s="14">
        <v>1270</v>
      </c>
      <c r="AX42" s="22">
        <v>47.8</v>
      </c>
      <c r="AY42" s="22">
        <v>38.6</v>
      </c>
      <c r="AZ42" s="22">
        <v>13.6</v>
      </c>
      <c r="BA42" s="22">
        <v>29.2</v>
      </c>
      <c r="BB42" s="22">
        <v>5.3</v>
      </c>
      <c r="BC42" s="22">
        <v>18.5</v>
      </c>
      <c r="BD42" s="22">
        <v>38.6</v>
      </c>
      <c r="BE42" s="22">
        <v>5</v>
      </c>
      <c r="BF42" s="22">
        <v>3.4</v>
      </c>
      <c r="BG42" s="55">
        <v>0</v>
      </c>
      <c r="BH42" s="14">
        <v>35378</v>
      </c>
      <c r="BI42" s="14"/>
      <c r="BJ42" s="61"/>
      <c r="BK42" s="104">
        <v>195</v>
      </c>
      <c r="BL42" s="104"/>
      <c r="BM42" s="104"/>
      <c r="BN42" s="104">
        <f t="shared" si="37"/>
        <v>664</v>
      </c>
      <c r="BO42" s="104"/>
      <c r="BP42" s="110">
        <v>664</v>
      </c>
      <c r="BQ42" s="28">
        <v>1.49</v>
      </c>
      <c r="BR42" s="29"/>
      <c r="BS42" s="29"/>
      <c r="BT42" s="29">
        <v>34.84</v>
      </c>
      <c r="BU42" s="29"/>
      <c r="BV42" s="29"/>
      <c r="BW42" s="29">
        <v>0.1</v>
      </c>
      <c r="BX42" s="29"/>
      <c r="BY42" s="29"/>
      <c r="BZ42" s="29">
        <v>4.15</v>
      </c>
      <c r="CA42" s="29"/>
      <c r="CB42" s="30"/>
      <c r="CC42" s="28">
        <v>7.1</v>
      </c>
      <c r="CD42" s="29">
        <v>12.1</v>
      </c>
      <c r="CE42" s="29">
        <v>26</v>
      </c>
      <c r="CF42" s="29">
        <v>11</v>
      </c>
      <c r="CG42" s="29">
        <v>0</v>
      </c>
      <c r="CH42" s="29">
        <v>0</v>
      </c>
      <c r="CI42" s="29">
        <v>0</v>
      </c>
      <c r="CJ42" s="30">
        <v>0</v>
      </c>
    </row>
    <row r="43" spans="1:88" ht="16.5" customHeight="1">
      <c r="A43" s="592"/>
      <c r="B43" s="3" t="s">
        <v>30</v>
      </c>
      <c r="C43" s="95">
        <v>6625.79</v>
      </c>
      <c r="D43" s="32">
        <v>25</v>
      </c>
      <c r="E43" s="32">
        <f t="shared" si="34"/>
        <v>806.8000000000001</v>
      </c>
      <c r="F43" s="32">
        <v>738.6</v>
      </c>
      <c r="G43" s="32">
        <v>68.2</v>
      </c>
      <c r="H43" s="32">
        <v>115</v>
      </c>
      <c r="I43" s="32"/>
      <c r="J43" s="32">
        <v>115.44</v>
      </c>
      <c r="K43" s="97"/>
      <c r="L43" s="95">
        <f>SUM(M43:O43)</f>
        <v>7372.94</v>
      </c>
      <c r="M43" s="32">
        <v>7372.94</v>
      </c>
      <c r="N43" s="100"/>
      <c r="O43" s="100"/>
      <c r="P43" s="100">
        <v>31</v>
      </c>
      <c r="Q43" s="101">
        <f t="shared" si="41"/>
        <v>237.83677419354837</v>
      </c>
      <c r="R43" s="102">
        <f>Q43/400*100</f>
        <v>59.45919354838709</v>
      </c>
      <c r="S43" s="100">
        <v>908</v>
      </c>
      <c r="T43" s="32">
        <v>9025</v>
      </c>
      <c r="U43" s="32">
        <v>115205</v>
      </c>
      <c r="V43" s="100"/>
      <c r="W43" s="100"/>
      <c r="X43" s="109">
        <v>4</v>
      </c>
      <c r="Y43" s="95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152"/>
      <c r="AL43" s="117">
        <v>14769</v>
      </c>
      <c r="AM43" s="14">
        <v>7752</v>
      </c>
      <c r="AN43" s="14">
        <f t="shared" si="35"/>
        <v>73295.16</v>
      </c>
      <c r="AO43" s="104"/>
      <c r="AP43" s="104"/>
      <c r="AQ43" s="104"/>
      <c r="AR43" s="104"/>
      <c r="AS43" s="104"/>
      <c r="AT43" s="104"/>
      <c r="AU43" s="18">
        <f t="shared" si="36"/>
        <v>7017</v>
      </c>
      <c r="AV43" s="427">
        <v>0.335</v>
      </c>
      <c r="AW43" s="50">
        <v>1258</v>
      </c>
      <c r="AX43" s="428">
        <v>48.3</v>
      </c>
      <c r="AY43" s="428">
        <v>37.1</v>
      </c>
      <c r="AZ43" s="428">
        <v>14.6</v>
      </c>
      <c r="BA43" s="428">
        <v>27.4</v>
      </c>
      <c r="BB43" s="428">
        <v>3.5</v>
      </c>
      <c r="BC43" s="428">
        <v>20.3</v>
      </c>
      <c r="BD43" s="428">
        <v>39.5</v>
      </c>
      <c r="BE43" s="428">
        <v>4.4</v>
      </c>
      <c r="BF43" s="428">
        <v>4.9</v>
      </c>
      <c r="BG43" s="297">
        <v>0</v>
      </c>
      <c r="BH43" s="14">
        <v>29997</v>
      </c>
      <c r="BI43" s="14"/>
      <c r="BJ43" s="61"/>
      <c r="BK43" s="104">
        <v>194</v>
      </c>
      <c r="BL43" s="104"/>
      <c r="BM43" s="104"/>
      <c r="BN43" s="104">
        <f t="shared" si="37"/>
        <v>550</v>
      </c>
      <c r="BO43" s="104"/>
      <c r="BP43" s="110">
        <v>550</v>
      </c>
      <c r="BQ43" s="28">
        <v>0.98</v>
      </c>
      <c r="BR43" s="29"/>
      <c r="BS43" s="29"/>
      <c r="BT43" s="29">
        <v>34.9</v>
      </c>
      <c r="BU43" s="29"/>
      <c r="BV43" s="29"/>
      <c r="BW43" s="29">
        <v>0.11</v>
      </c>
      <c r="BX43" s="29"/>
      <c r="BY43" s="29"/>
      <c r="BZ43" s="29">
        <v>5.06</v>
      </c>
      <c r="CA43" s="29"/>
      <c r="CB43" s="30"/>
      <c r="CC43" s="28">
        <v>7.1</v>
      </c>
      <c r="CD43" s="29">
        <v>7.65</v>
      </c>
      <c r="CE43" s="29">
        <v>8.2</v>
      </c>
      <c r="CF43" s="29">
        <v>2.25</v>
      </c>
      <c r="CG43" s="29">
        <v>0</v>
      </c>
      <c r="CH43" s="29">
        <v>0</v>
      </c>
      <c r="CI43" s="29">
        <v>0</v>
      </c>
      <c r="CJ43" s="30">
        <v>0</v>
      </c>
    </row>
    <row r="44" spans="1:88" ht="16.5" customHeight="1">
      <c r="A44" s="478" t="s">
        <v>53</v>
      </c>
      <c r="B44" s="10" t="s">
        <v>48</v>
      </c>
      <c r="C44" s="271">
        <f>SUM(C45:C56)</f>
        <v>114412.4</v>
      </c>
      <c r="D44" s="666">
        <f>SUM(D45:D56)</f>
        <v>356</v>
      </c>
      <c r="E44" s="98">
        <f>SUM(E45:E56)</f>
        <v>15807.68</v>
      </c>
      <c r="F44" s="272">
        <f>SUM(F45:F56)</f>
        <v>14536.44</v>
      </c>
      <c r="G44" s="272">
        <f>SUM(G45:G56)</f>
        <v>1271.2399999999998</v>
      </c>
      <c r="H44" s="272">
        <f aca="true" t="shared" si="42" ref="H44:P44">SUM(H45:H56)</f>
        <v>4892</v>
      </c>
      <c r="I44" s="272">
        <f t="shared" si="42"/>
        <v>4891.8</v>
      </c>
      <c r="J44" s="272">
        <f t="shared" si="42"/>
        <v>0</v>
      </c>
      <c r="K44" s="441">
        <f t="shared" si="42"/>
        <v>0</v>
      </c>
      <c r="L44" s="271">
        <f t="shared" si="42"/>
        <v>62397.990000000005</v>
      </c>
      <c r="M44" s="272">
        <f t="shared" si="42"/>
        <v>56075.689999999995</v>
      </c>
      <c r="N44" s="272">
        <f t="shared" si="42"/>
        <v>2830.3</v>
      </c>
      <c r="O44" s="272">
        <f t="shared" si="42"/>
        <v>3492</v>
      </c>
      <c r="P44" s="272">
        <f t="shared" si="42"/>
        <v>298</v>
      </c>
      <c r="Q44" s="272">
        <f t="shared" si="41"/>
        <v>209.38922818791949</v>
      </c>
      <c r="R44" s="272">
        <f>SUM(R45:R56)/12</f>
        <v>81.63978494623655</v>
      </c>
      <c r="S44" s="272">
        <f>SUM(S45:S56)/12</f>
        <v>939.8333333333334</v>
      </c>
      <c r="T44" s="103"/>
      <c r="U44" s="103"/>
      <c r="V44" s="272">
        <f>SUM(V45:V56)</f>
        <v>34882</v>
      </c>
      <c r="W44" s="272">
        <f>SUM(W45:W56)</f>
        <v>543892</v>
      </c>
      <c r="X44" s="442">
        <f>SUM(X45:X56)/12</f>
        <v>3.3333333333333335</v>
      </c>
      <c r="Y44" s="271">
        <f>SUM(Y45:Y56)</f>
        <v>61446.76</v>
      </c>
      <c r="Z44" s="272">
        <f>SUM(Z45:Z56)</f>
        <v>55774.26</v>
      </c>
      <c r="AA44" s="272">
        <f>SUM(AA45:AA56)</f>
        <v>2061.5</v>
      </c>
      <c r="AB44" s="272">
        <f>SUM(AB45:AB56)</f>
        <v>3611</v>
      </c>
      <c r="AC44" s="272">
        <f>SUM(AC45:AC56)</f>
        <v>298</v>
      </c>
      <c r="AD44" s="272">
        <f aca="true" t="shared" si="43" ref="AD44:AD56">Y44/AC44</f>
        <v>206.1971812080537</v>
      </c>
      <c r="AE44" s="272">
        <v>82</v>
      </c>
      <c r="AF44" s="272">
        <f>SUM(AF45:AF56)/12</f>
        <v>929.0833333333334</v>
      </c>
      <c r="AG44" s="272"/>
      <c r="AH44" s="272"/>
      <c r="AI44" s="272">
        <f>SUM(AI45:AI56)</f>
        <v>22516</v>
      </c>
      <c r="AJ44" s="272">
        <f>SUM(AJ45:AJ56)</f>
        <v>616496</v>
      </c>
      <c r="AK44" s="609">
        <f>SUM(AK45:AK56)/12</f>
        <v>3.3333333333333335</v>
      </c>
      <c r="AL44" s="271">
        <f>SUM(AL45:AL56)</f>
        <v>151267</v>
      </c>
      <c r="AM44" s="12">
        <f>SUM(AM45:AM56)</f>
        <v>106872.40000000001</v>
      </c>
      <c r="AN44" s="82" t="s">
        <v>419</v>
      </c>
      <c r="AO44" s="103"/>
      <c r="AP44" s="103"/>
      <c r="AQ44" s="103"/>
      <c r="AR44" s="103"/>
      <c r="AS44" s="103"/>
      <c r="AT44" s="103"/>
      <c r="AU44" s="16">
        <f>SUM(AU45:AU56)</f>
        <v>44395</v>
      </c>
      <c r="AV44" s="443">
        <f>SUM(AV45:AV56)/12</f>
        <v>0.34600000000000003</v>
      </c>
      <c r="AW44" s="272">
        <f>SUM(AW45:AW56)/12</f>
        <v>1672.25</v>
      </c>
      <c r="AX44" s="444">
        <f>SUM(AX45:AX56)/12</f>
        <v>51.458333333333336</v>
      </c>
      <c r="AY44" s="444">
        <v>40.5</v>
      </c>
      <c r="AZ44" s="444">
        <v>8</v>
      </c>
      <c r="BA44" s="444">
        <v>27.6</v>
      </c>
      <c r="BB44" s="444">
        <f>SUM(BB45:BB56)/12</f>
        <v>3.5416666666666674</v>
      </c>
      <c r="BC44" s="444">
        <f>SUM(BC45:BC56)/12</f>
        <v>22.141666666666666</v>
      </c>
      <c r="BD44" s="444">
        <f>SUM(BD45:BD56)/12</f>
        <v>36.975</v>
      </c>
      <c r="BE44" s="444">
        <f>SUM(BE45:BE56)/12</f>
        <v>4.8166666666666655</v>
      </c>
      <c r="BF44" s="444">
        <f>SUM(BF45:BF56)/12</f>
        <v>4.991666666666667</v>
      </c>
      <c r="BG44" s="70"/>
      <c r="BH44" s="271">
        <f>SUM(BH45:BH56)/12</f>
        <v>42112.333333333336</v>
      </c>
      <c r="BI44" s="272">
        <f>SUM(BI45:BI56)/12</f>
        <v>41233.083333333336</v>
      </c>
      <c r="BJ44" s="445"/>
      <c r="BK44" s="446">
        <f>SUM(BK45:BK56)/12</f>
        <v>186.57500000000002</v>
      </c>
      <c r="BL44" s="446">
        <f>SUM(BL45:BL56)/12</f>
        <v>170.1</v>
      </c>
      <c r="BM44" s="82"/>
      <c r="BN44" s="272">
        <f>SUM(BN45:BN56)</f>
        <v>25562</v>
      </c>
      <c r="BO44" s="447"/>
      <c r="BP44" s="441">
        <f>SUM(BP45:BP56)</f>
        <v>25562</v>
      </c>
      <c r="BQ44" s="448">
        <f>SUM(BQ45:BQ56)/12</f>
        <v>12.396666666666668</v>
      </c>
      <c r="BR44" s="449">
        <f>SUM(BR45:BR56)/12</f>
        <v>6.41</v>
      </c>
      <c r="BS44" s="449"/>
      <c r="BT44" s="449">
        <f>SUM(BT45:BT56)/12</f>
        <v>29.81083333333333</v>
      </c>
      <c r="BU44" s="449">
        <f>SUM(BU45:BU56)/12</f>
        <v>31.291666666666668</v>
      </c>
      <c r="BV44" s="449"/>
      <c r="BW44" s="449">
        <f>SUM(BW45:BW56)/12</f>
        <v>2.2700000000000005</v>
      </c>
      <c r="BX44" s="449">
        <f>SUM(BX45:BX56)/12</f>
        <v>0.6483333333333333</v>
      </c>
      <c r="BY44" s="449"/>
      <c r="BZ44" s="449">
        <f>SUM(BZ45:BZ56)/12</f>
        <v>5.558333333333334</v>
      </c>
      <c r="CA44" s="449">
        <f>SUM(CA45:CA56)/12</f>
        <v>8.250833333333333</v>
      </c>
      <c r="CB44" s="72"/>
      <c r="CC44" s="41">
        <f aca="true" t="shared" si="44" ref="CC44:CH44">SUM(CC45:CC56)/12</f>
        <v>7.7541666666666655</v>
      </c>
      <c r="CD44" s="34">
        <f t="shared" si="44"/>
        <v>9.770833333333336</v>
      </c>
      <c r="CE44" s="34">
        <f t="shared" si="44"/>
        <v>25.670833333333338</v>
      </c>
      <c r="CF44" s="34">
        <f t="shared" si="44"/>
        <v>18.958333333333332</v>
      </c>
      <c r="CG44" s="34">
        <f t="shared" si="44"/>
        <v>0.07116666666666667</v>
      </c>
      <c r="CH44" s="34">
        <f t="shared" si="44"/>
        <v>0.08283333333333333</v>
      </c>
      <c r="CI44" s="34">
        <v>0</v>
      </c>
      <c r="CJ44" s="72">
        <f>SUM(CJ45:CJ56)/12</f>
        <v>0.015</v>
      </c>
    </row>
    <row r="45" spans="1:88" ht="16.5" customHeight="1">
      <c r="A45" s="592"/>
      <c r="B45" s="3" t="s">
        <v>19</v>
      </c>
      <c r="C45" s="273">
        <v>6379.36</v>
      </c>
      <c r="D45" s="667">
        <v>31</v>
      </c>
      <c r="E45" s="32">
        <f aca="true" t="shared" si="45" ref="E45:E56">SUM(F45:G45)</f>
        <v>876.87</v>
      </c>
      <c r="F45" s="274">
        <v>792.15</v>
      </c>
      <c r="G45" s="274">
        <v>84.72</v>
      </c>
      <c r="H45" s="274">
        <v>280</v>
      </c>
      <c r="I45" s="274">
        <v>280.1</v>
      </c>
      <c r="J45" s="274"/>
      <c r="K45" s="450">
        <v>0</v>
      </c>
      <c r="L45" s="273">
        <f aca="true" t="shared" si="46" ref="L45:L56">SUM(M45:O45)</f>
        <v>773.4000000000001</v>
      </c>
      <c r="M45" s="274">
        <v>693.7</v>
      </c>
      <c r="N45" s="274">
        <v>15.7</v>
      </c>
      <c r="O45" s="274">
        <v>64</v>
      </c>
      <c r="P45" s="274">
        <v>5</v>
      </c>
      <c r="Q45" s="274">
        <f t="shared" si="41"/>
        <v>154.68</v>
      </c>
      <c r="R45" s="274">
        <f>(+P45/31)*100</f>
        <v>16.129032258064516</v>
      </c>
      <c r="S45" s="274">
        <v>891</v>
      </c>
      <c r="T45" s="104"/>
      <c r="U45" s="104"/>
      <c r="V45" s="274"/>
      <c r="W45" s="274">
        <v>7107</v>
      </c>
      <c r="X45" s="110">
        <v>3.8</v>
      </c>
      <c r="Y45" s="273">
        <f aca="true" t="shared" si="47" ref="Y45:Y56">SUM(Z45:AB45)</f>
        <v>7336.339999999999</v>
      </c>
      <c r="Z45" s="274">
        <v>6259.94</v>
      </c>
      <c r="AA45" s="274">
        <v>264.4</v>
      </c>
      <c r="AB45" s="274">
        <v>812</v>
      </c>
      <c r="AC45" s="274">
        <v>31</v>
      </c>
      <c r="AD45" s="274">
        <f t="shared" si="43"/>
        <v>236.65612903225804</v>
      </c>
      <c r="AE45" s="274">
        <f>(+AC45/31)*100</f>
        <v>100</v>
      </c>
      <c r="AF45" s="274">
        <v>947</v>
      </c>
      <c r="AG45" s="274"/>
      <c r="AH45" s="274"/>
      <c r="AI45" s="274"/>
      <c r="AJ45" s="274">
        <v>76015</v>
      </c>
      <c r="AK45" s="55">
        <v>3.8</v>
      </c>
      <c r="AL45" s="437">
        <v>9481</v>
      </c>
      <c r="AM45" s="438">
        <v>7312.1</v>
      </c>
      <c r="AN45" s="116"/>
      <c r="AO45" s="116"/>
      <c r="AP45" s="116"/>
      <c r="AQ45" s="116"/>
      <c r="AR45" s="116"/>
      <c r="AS45" s="116"/>
      <c r="AT45" s="104" t="s">
        <v>411</v>
      </c>
      <c r="AU45" s="662">
        <v>2169</v>
      </c>
      <c r="AV45" s="121">
        <v>0.379</v>
      </c>
      <c r="AW45" s="438">
        <v>1538</v>
      </c>
      <c r="AX45" s="21">
        <v>54.5</v>
      </c>
      <c r="AY45" s="21">
        <v>39</v>
      </c>
      <c r="AZ45" s="21">
        <v>6.5</v>
      </c>
      <c r="BA45" s="21">
        <v>20.6</v>
      </c>
      <c r="BB45" s="21">
        <v>2</v>
      </c>
      <c r="BC45" s="21">
        <v>17.8</v>
      </c>
      <c r="BD45" s="21">
        <v>51.8</v>
      </c>
      <c r="BE45" s="21">
        <v>1.1</v>
      </c>
      <c r="BF45" s="21">
        <v>6.7</v>
      </c>
      <c r="BG45" s="54"/>
      <c r="BH45" s="437">
        <v>33538</v>
      </c>
      <c r="BI45" s="438">
        <v>46379</v>
      </c>
      <c r="BJ45" s="129"/>
      <c r="BK45" s="130">
        <v>194.7</v>
      </c>
      <c r="BL45" s="130">
        <v>179.7</v>
      </c>
      <c r="BM45" s="129"/>
      <c r="BN45" s="438">
        <v>1828</v>
      </c>
      <c r="BO45" s="451"/>
      <c r="BP45" s="452">
        <v>1828</v>
      </c>
      <c r="BQ45" s="26">
        <v>4.24</v>
      </c>
      <c r="BR45" s="27">
        <v>1.14</v>
      </c>
      <c r="BS45" s="27"/>
      <c r="BT45" s="27">
        <v>27.82</v>
      </c>
      <c r="BU45" s="27">
        <v>26.9</v>
      </c>
      <c r="BV45" s="27"/>
      <c r="BW45" s="27">
        <v>9.13</v>
      </c>
      <c r="BX45" s="27">
        <v>1.85</v>
      </c>
      <c r="BY45" s="27"/>
      <c r="BZ45" s="27">
        <v>5.57</v>
      </c>
      <c r="CA45" s="27">
        <v>5.85</v>
      </c>
      <c r="CB45" s="44"/>
      <c r="CC45" s="26">
        <v>8.2</v>
      </c>
      <c r="CD45" s="27">
        <v>13.45</v>
      </c>
      <c r="CE45" s="27">
        <v>23.1</v>
      </c>
      <c r="CF45" s="27">
        <v>16</v>
      </c>
      <c r="CG45" s="27">
        <v>0.065</v>
      </c>
      <c r="CH45" s="27">
        <v>0.129</v>
      </c>
      <c r="CI45" s="27">
        <v>0</v>
      </c>
      <c r="CJ45" s="44">
        <v>0.001</v>
      </c>
    </row>
    <row r="46" spans="1:88" ht="16.5" customHeight="1">
      <c r="A46" s="592"/>
      <c r="B46" s="3" t="s">
        <v>20</v>
      </c>
      <c r="C46" s="273">
        <v>12000.81</v>
      </c>
      <c r="D46" s="667">
        <v>29</v>
      </c>
      <c r="E46" s="32">
        <f t="shared" si="45"/>
        <v>1655.3600000000001</v>
      </c>
      <c r="F46" s="274">
        <v>1519.97</v>
      </c>
      <c r="G46" s="274">
        <v>135.39</v>
      </c>
      <c r="H46" s="274">
        <v>227</v>
      </c>
      <c r="I46" s="274">
        <v>227</v>
      </c>
      <c r="J46" s="274"/>
      <c r="K46" s="450"/>
      <c r="L46" s="273">
        <f t="shared" si="46"/>
        <v>5924.78</v>
      </c>
      <c r="M46" s="274">
        <v>5443.38</v>
      </c>
      <c r="N46" s="274">
        <v>112.4</v>
      </c>
      <c r="O46" s="274">
        <v>369</v>
      </c>
      <c r="P46" s="274">
        <v>29</v>
      </c>
      <c r="Q46" s="274">
        <f t="shared" si="41"/>
        <v>204.30275862068964</v>
      </c>
      <c r="R46" s="274">
        <f>(+P46/29)*100</f>
        <v>100</v>
      </c>
      <c r="S46" s="274">
        <v>940</v>
      </c>
      <c r="T46" s="104"/>
      <c r="U46" s="104"/>
      <c r="V46" s="274"/>
      <c r="W46" s="274">
        <v>60870</v>
      </c>
      <c r="X46" s="110">
        <v>2.6</v>
      </c>
      <c r="Y46" s="273">
        <f t="shared" si="47"/>
        <v>5716.71</v>
      </c>
      <c r="Z46" s="274">
        <v>5280.11</v>
      </c>
      <c r="AA46" s="274">
        <v>114.6</v>
      </c>
      <c r="AB46" s="274">
        <v>322</v>
      </c>
      <c r="AC46" s="274">
        <v>27</v>
      </c>
      <c r="AD46" s="274">
        <f t="shared" si="43"/>
        <v>211.73</v>
      </c>
      <c r="AE46" s="274">
        <f>(+AC46/29)*100</f>
        <v>93.10344827586206</v>
      </c>
      <c r="AF46" s="274">
        <v>929</v>
      </c>
      <c r="AG46" s="274"/>
      <c r="AH46" s="274"/>
      <c r="AI46" s="274">
        <v>5820</v>
      </c>
      <c r="AJ46" s="274">
        <v>62423</v>
      </c>
      <c r="AK46" s="55">
        <v>2.6</v>
      </c>
      <c r="AL46" s="273">
        <v>14199</v>
      </c>
      <c r="AM46" s="274">
        <v>11810.2</v>
      </c>
      <c r="AN46" s="104"/>
      <c r="AO46" s="104"/>
      <c r="AP46" s="104"/>
      <c r="AQ46" s="104"/>
      <c r="AR46" s="104"/>
      <c r="AS46" s="104"/>
      <c r="AT46" s="104" t="s">
        <v>412</v>
      </c>
      <c r="AU46" s="662">
        <v>2389</v>
      </c>
      <c r="AV46" s="122">
        <v>0.373</v>
      </c>
      <c r="AW46" s="274">
        <v>1746</v>
      </c>
      <c r="AX46" s="22">
        <v>50.3</v>
      </c>
      <c r="AY46" s="22">
        <v>40.8</v>
      </c>
      <c r="AZ46" s="22">
        <v>8.9</v>
      </c>
      <c r="BA46" s="22">
        <v>38.5</v>
      </c>
      <c r="BB46" s="22">
        <v>3</v>
      </c>
      <c r="BC46" s="22">
        <v>25.8</v>
      </c>
      <c r="BD46" s="22">
        <v>24.2</v>
      </c>
      <c r="BE46" s="22">
        <v>3.6</v>
      </c>
      <c r="BF46" s="22">
        <v>4.9</v>
      </c>
      <c r="BG46" s="55"/>
      <c r="BH46" s="273">
        <v>43149</v>
      </c>
      <c r="BI46" s="274">
        <v>40173</v>
      </c>
      <c r="BJ46" s="61"/>
      <c r="BK46" s="131">
        <v>193.9</v>
      </c>
      <c r="BL46" s="131">
        <v>178.5</v>
      </c>
      <c r="BM46" s="61"/>
      <c r="BN46" s="274">
        <v>1755</v>
      </c>
      <c r="BO46" s="453"/>
      <c r="BP46" s="450">
        <v>1755</v>
      </c>
      <c r="BQ46" s="28">
        <v>4.12</v>
      </c>
      <c r="BR46" s="29">
        <v>9.15</v>
      </c>
      <c r="BS46" s="29"/>
      <c r="BT46" s="29">
        <v>25.45</v>
      </c>
      <c r="BU46" s="29">
        <v>32.67</v>
      </c>
      <c r="BV46" s="29"/>
      <c r="BW46" s="29">
        <v>8.6</v>
      </c>
      <c r="BX46" s="29">
        <v>0.96</v>
      </c>
      <c r="BY46" s="29"/>
      <c r="BZ46" s="29">
        <v>4.72</v>
      </c>
      <c r="CA46" s="29">
        <v>6.67</v>
      </c>
      <c r="CB46" s="30"/>
      <c r="CC46" s="28">
        <v>8.2</v>
      </c>
      <c r="CD46" s="29">
        <v>3.85</v>
      </c>
      <c r="CE46" s="29">
        <v>17.4</v>
      </c>
      <c r="CF46" s="29">
        <v>18.2</v>
      </c>
      <c r="CG46" s="29">
        <v>0.023</v>
      </c>
      <c r="CH46" s="29">
        <v>0.018</v>
      </c>
      <c r="CI46" s="29">
        <v>0</v>
      </c>
      <c r="CJ46" s="30">
        <v>0</v>
      </c>
    </row>
    <row r="47" spans="1:88" ht="16.5" customHeight="1">
      <c r="A47" s="592"/>
      <c r="B47" s="3" t="s">
        <v>21</v>
      </c>
      <c r="C47" s="273">
        <v>11953.07</v>
      </c>
      <c r="D47" s="667">
        <v>31</v>
      </c>
      <c r="E47" s="32">
        <f t="shared" si="45"/>
        <v>1772.25</v>
      </c>
      <c r="F47" s="274">
        <v>1619.9</v>
      </c>
      <c r="G47" s="274">
        <v>152.35</v>
      </c>
      <c r="H47" s="274">
        <v>281</v>
      </c>
      <c r="I47" s="274">
        <v>280.9</v>
      </c>
      <c r="J47" s="274"/>
      <c r="K47" s="450"/>
      <c r="L47" s="273">
        <f t="shared" si="46"/>
        <v>6594.370000000001</v>
      </c>
      <c r="M47" s="274">
        <v>5975.27</v>
      </c>
      <c r="N47" s="274">
        <v>147.1</v>
      </c>
      <c r="O47" s="274">
        <v>472</v>
      </c>
      <c r="P47" s="274">
        <v>30</v>
      </c>
      <c r="Q47" s="274">
        <f t="shared" si="41"/>
        <v>219.81233333333336</v>
      </c>
      <c r="R47" s="274">
        <f>(+P47/31)*100</f>
        <v>96.7741935483871</v>
      </c>
      <c r="S47" s="274">
        <v>932</v>
      </c>
      <c r="T47" s="104"/>
      <c r="U47" s="104"/>
      <c r="V47" s="274">
        <v>5430</v>
      </c>
      <c r="W47" s="274">
        <v>63395</v>
      </c>
      <c r="X47" s="110">
        <v>3.2</v>
      </c>
      <c r="Y47" s="273">
        <f t="shared" si="47"/>
        <v>6320.17</v>
      </c>
      <c r="Z47" s="274">
        <v>5774.37</v>
      </c>
      <c r="AA47" s="274">
        <v>133.8</v>
      </c>
      <c r="AB47" s="274">
        <v>412</v>
      </c>
      <c r="AC47" s="274">
        <v>30</v>
      </c>
      <c r="AD47" s="274">
        <f t="shared" si="43"/>
        <v>210.67233333333334</v>
      </c>
      <c r="AE47" s="274">
        <f>(+AC47/31)*100</f>
        <v>96.7741935483871</v>
      </c>
      <c r="AF47" s="274">
        <v>909</v>
      </c>
      <c r="AG47" s="274"/>
      <c r="AH47" s="274"/>
      <c r="AI47" s="274">
        <v>5680</v>
      </c>
      <c r="AJ47" s="274">
        <v>74132</v>
      </c>
      <c r="AK47" s="55">
        <v>3.2</v>
      </c>
      <c r="AL47" s="273">
        <v>15563</v>
      </c>
      <c r="AM47" s="274">
        <v>12632.3</v>
      </c>
      <c r="AN47" s="104"/>
      <c r="AO47" s="104"/>
      <c r="AP47" s="104"/>
      <c r="AQ47" s="104"/>
      <c r="AR47" s="104"/>
      <c r="AS47" s="104"/>
      <c r="AT47" s="104" t="s">
        <v>413</v>
      </c>
      <c r="AU47" s="662">
        <v>2931</v>
      </c>
      <c r="AV47" s="122">
        <v>0.32</v>
      </c>
      <c r="AW47" s="274">
        <v>1680</v>
      </c>
      <c r="AX47" s="22">
        <v>52.3</v>
      </c>
      <c r="AY47" s="22">
        <v>37.6</v>
      </c>
      <c r="AZ47" s="22">
        <v>10.1</v>
      </c>
      <c r="BA47" s="22">
        <v>22.2</v>
      </c>
      <c r="BB47" s="22">
        <v>4.8</v>
      </c>
      <c r="BC47" s="22">
        <v>15.5</v>
      </c>
      <c r="BD47" s="22">
        <v>46.6</v>
      </c>
      <c r="BE47" s="22">
        <v>4</v>
      </c>
      <c r="BF47" s="22">
        <v>6.9</v>
      </c>
      <c r="BG47" s="55"/>
      <c r="BH47" s="273">
        <v>43010</v>
      </c>
      <c r="BI47" s="274">
        <v>39526</v>
      </c>
      <c r="BJ47" s="61"/>
      <c r="BK47" s="131">
        <v>190.7</v>
      </c>
      <c r="BL47" s="131">
        <v>177.7</v>
      </c>
      <c r="BM47" s="61"/>
      <c r="BN47" s="274">
        <v>2510</v>
      </c>
      <c r="BO47" s="453"/>
      <c r="BP47" s="450">
        <v>2510</v>
      </c>
      <c r="BQ47" s="28">
        <v>4.09</v>
      </c>
      <c r="BR47" s="29">
        <v>4.68</v>
      </c>
      <c r="BS47" s="29"/>
      <c r="BT47" s="29">
        <v>24.7</v>
      </c>
      <c r="BU47" s="29">
        <v>38.8</v>
      </c>
      <c r="BV47" s="29"/>
      <c r="BW47" s="29">
        <v>1.01</v>
      </c>
      <c r="BX47" s="29">
        <v>1.08</v>
      </c>
      <c r="BY47" s="29"/>
      <c r="BZ47" s="29">
        <v>4.66</v>
      </c>
      <c r="CA47" s="29">
        <v>6.02</v>
      </c>
      <c r="CB47" s="30"/>
      <c r="CC47" s="28">
        <v>7.9</v>
      </c>
      <c r="CD47" s="29">
        <v>5.05</v>
      </c>
      <c r="CE47" s="29">
        <v>17.7</v>
      </c>
      <c r="CF47" s="29">
        <v>5.6</v>
      </c>
      <c r="CG47" s="29">
        <v>0.07</v>
      </c>
      <c r="CH47" s="29">
        <v>0</v>
      </c>
      <c r="CI47" s="29">
        <v>0</v>
      </c>
      <c r="CJ47" s="30">
        <v>0</v>
      </c>
    </row>
    <row r="48" spans="1:88" ht="16.5" customHeight="1">
      <c r="A48" s="592"/>
      <c r="B48" s="3" t="s">
        <v>22</v>
      </c>
      <c r="C48" s="273">
        <v>11897.3</v>
      </c>
      <c r="D48" s="667">
        <v>30</v>
      </c>
      <c r="E48" s="32">
        <f t="shared" si="45"/>
        <v>1662.97</v>
      </c>
      <c r="F48" s="274">
        <v>1540.25</v>
      </c>
      <c r="G48" s="274">
        <v>122.72</v>
      </c>
      <c r="H48" s="274">
        <v>249</v>
      </c>
      <c r="I48" s="274">
        <v>248.8</v>
      </c>
      <c r="J48" s="274"/>
      <c r="K48" s="450"/>
      <c r="L48" s="273">
        <f t="shared" si="46"/>
        <v>6079.88</v>
      </c>
      <c r="M48" s="274">
        <v>5727.38</v>
      </c>
      <c r="N48" s="274">
        <v>120.5</v>
      </c>
      <c r="O48" s="274">
        <v>232</v>
      </c>
      <c r="P48" s="274">
        <v>30</v>
      </c>
      <c r="Q48" s="274">
        <f t="shared" si="41"/>
        <v>202.66266666666667</v>
      </c>
      <c r="R48" s="274">
        <f>(+P48/30)*100</f>
        <v>100</v>
      </c>
      <c r="S48" s="274">
        <v>938</v>
      </c>
      <c r="T48" s="104"/>
      <c r="U48" s="104"/>
      <c r="V48" s="274"/>
      <c r="W48" s="274">
        <v>45030</v>
      </c>
      <c r="X48" s="111">
        <v>3</v>
      </c>
      <c r="Y48" s="273">
        <f t="shared" si="47"/>
        <v>5970.03</v>
      </c>
      <c r="Z48" s="274">
        <v>5590.73</v>
      </c>
      <c r="AA48" s="274">
        <v>128.3</v>
      </c>
      <c r="AB48" s="274">
        <v>251</v>
      </c>
      <c r="AC48" s="274">
        <v>30</v>
      </c>
      <c r="AD48" s="274">
        <f t="shared" si="43"/>
        <v>199.001</v>
      </c>
      <c r="AE48" s="274">
        <f>(+AC48/30)*100</f>
        <v>100</v>
      </c>
      <c r="AF48" s="274">
        <v>909</v>
      </c>
      <c r="AG48" s="274"/>
      <c r="AH48" s="274"/>
      <c r="AI48" s="274"/>
      <c r="AJ48" s="274">
        <v>54609</v>
      </c>
      <c r="AK48" s="55">
        <v>3</v>
      </c>
      <c r="AL48" s="273">
        <v>15460</v>
      </c>
      <c r="AM48" s="274">
        <v>12179.6</v>
      </c>
      <c r="AN48" s="104"/>
      <c r="AO48" s="104"/>
      <c r="AP48" s="104"/>
      <c r="AQ48" s="104"/>
      <c r="AR48" s="104"/>
      <c r="AS48" s="104"/>
      <c r="AT48" s="104" t="s">
        <v>414</v>
      </c>
      <c r="AU48" s="662">
        <v>3280</v>
      </c>
      <c r="AV48" s="122">
        <v>0.287</v>
      </c>
      <c r="AW48" s="274">
        <v>1714</v>
      </c>
      <c r="AX48" s="22">
        <v>52.9</v>
      </c>
      <c r="AY48" s="22">
        <v>40.1</v>
      </c>
      <c r="AZ48" s="22">
        <v>7</v>
      </c>
      <c r="BA48" s="22">
        <v>30.5</v>
      </c>
      <c r="BB48" s="22">
        <v>1.9</v>
      </c>
      <c r="BC48" s="22">
        <v>14.8</v>
      </c>
      <c r="BD48" s="22">
        <v>41.1</v>
      </c>
      <c r="BE48" s="22">
        <v>8.3</v>
      </c>
      <c r="BF48" s="22">
        <v>3.4</v>
      </c>
      <c r="BG48" s="55"/>
      <c r="BH48" s="273">
        <v>34832</v>
      </c>
      <c r="BI48" s="274">
        <v>33056</v>
      </c>
      <c r="BJ48" s="61"/>
      <c r="BK48" s="131">
        <v>180.2</v>
      </c>
      <c r="BL48" s="131">
        <v>168</v>
      </c>
      <c r="BM48" s="61"/>
      <c r="BN48" s="274">
        <v>2405</v>
      </c>
      <c r="BO48" s="453"/>
      <c r="BP48" s="450">
        <v>2405</v>
      </c>
      <c r="BQ48" s="28">
        <v>14.3</v>
      </c>
      <c r="BR48" s="29">
        <v>6.24</v>
      </c>
      <c r="BS48" s="29"/>
      <c r="BT48" s="29">
        <v>36.26</v>
      </c>
      <c r="BU48" s="29">
        <v>39.55</v>
      </c>
      <c r="BV48" s="29"/>
      <c r="BW48" s="29">
        <v>1.26</v>
      </c>
      <c r="BX48" s="29">
        <v>1.06</v>
      </c>
      <c r="BY48" s="29"/>
      <c r="BZ48" s="29">
        <v>5.58</v>
      </c>
      <c r="CA48" s="29">
        <v>6.45</v>
      </c>
      <c r="CB48" s="30"/>
      <c r="CC48" s="28">
        <v>7.8</v>
      </c>
      <c r="CD48" s="29">
        <v>6.05</v>
      </c>
      <c r="CE48" s="29">
        <v>21.6</v>
      </c>
      <c r="CF48" s="29">
        <v>9.4</v>
      </c>
      <c r="CG48" s="29">
        <v>0.169</v>
      </c>
      <c r="CH48" s="29">
        <v>0.351</v>
      </c>
      <c r="CI48" s="29">
        <v>0</v>
      </c>
      <c r="CJ48" s="30">
        <v>0</v>
      </c>
    </row>
    <row r="49" spans="1:88" ht="16.5" customHeight="1">
      <c r="A49" s="592"/>
      <c r="B49" s="3" t="s">
        <v>23</v>
      </c>
      <c r="C49" s="273">
        <v>4771.88</v>
      </c>
      <c r="D49" s="667">
        <v>31</v>
      </c>
      <c r="E49" s="32">
        <f t="shared" si="45"/>
        <v>871.5</v>
      </c>
      <c r="F49" s="274">
        <v>776.2</v>
      </c>
      <c r="G49" s="274">
        <v>95.3</v>
      </c>
      <c r="H49" s="274">
        <v>299</v>
      </c>
      <c r="I49" s="274">
        <v>299.2</v>
      </c>
      <c r="J49" s="274"/>
      <c r="K49" s="450"/>
      <c r="L49" s="273">
        <f t="shared" si="46"/>
        <v>1753.1</v>
      </c>
      <c r="M49" s="274">
        <v>1623.3</v>
      </c>
      <c r="N49" s="274">
        <v>104.8</v>
      </c>
      <c r="O49" s="274">
        <v>25</v>
      </c>
      <c r="P49" s="274">
        <v>9</v>
      </c>
      <c r="Q49" s="274">
        <f t="shared" si="41"/>
        <v>194.7888888888889</v>
      </c>
      <c r="R49" s="274">
        <f>(+P49/31)*100</f>
        <v>29.03225806451613</v>
      </c>
      <c r="S49" s="274">
        <v>943</v>
      </c>
      <c r="T49" s="104"/>
      <c r="U49" s="104"/>
      <c r="V49" s="274">
        <v>7674</v>
      </c>
      <c r="W49" s="274">
        <v>13131</v>
      </c>
      <c r="X49" s="110">
        <v>3.2</v>
      </c>
      <c r="Y49" s="273">
        <f t="shared" si="47"/>
        <v>5204.46</v>
      </c>
      <c r="Z49" s="274">
        <v>4810.06</v>
      </c>
      <c r="AA49" s="274">
        <v>194.4</v>
      </c>
      <c r="AB49" s="274">
        <v>200</v>
      </c>
      <c r="AC49" s="274">
        <v>26</v>
      </c>
      <c r="AD49" s="274">
        <f t="shared" si="43"/>
        <v>200.17153846153846</v>
      </c>
      <c r="AE49" s="274">
        <f>(+AC49/31)*100</f>
        <v>83.87096774193549</v>
      </c>
      <c r="AF49" s="274">
        <v>911</v>
      </c>
      <c r="AG49" s="274"/>
      <c r="AH49" s="274"/>
      <c r="AI49" s="274">
        <v>5345</v>
      </c>
      <c r="AJ49" s="274">
        <v>46676</v>
      </c>
      <c r="AK49" s="55">
        <v>3.2</v>
      </c>
      <c r="AL49" s="273">
        <v>9203</v>
      </c>
      <c r="AM49" s="274">
        <v>6912.6</v>
      </c>
      <c r="AN49" s="104"/>
      <c r="AO49" s="104"/>
      <c r="AP49" s="104"/>
      <c r="AQ49" s="104"/>
      <c r="AR49" s="104"/>
      <c r="AS49" s="104"/>
      <c r="AT49" s="104" t="s">
        <v>414</v>
      </c>
      <c r="AU49" s="662">
        <v>2290</v>
      </c>
      <c r="AV49" s="122">
        <v>0.288</v>
      </c>
      <c r="AW49" s="274">
        <v>1731</v>
      </c>
      <c r="AX49" s="22">
        <v>49.5</v>
      </c>
      <c r="AY49" s="22">
        <v>42.7</v>
      </c>
      <c r="AZ49" s="22">
        <v>7.8</v>
      </c>
      <c r="BA49" s="22">
        <v>24.9</v>
      </c>
      <c r="BB49" s="22">
        <v>6</v>
      </c>
      <c r="BC49" s="22">
        <v>18.1</v>
      </c>
      <c r="BD49" s="22">
        <v>38.6</v>
      </c>
      <c r="BE49" s="22">
        <v>6.6</v>
      </c>
      <c r="BF49" s="22">
        <v>5.8</v>
      </c>
      <c r="BG49" s="55"/>
      <c r="BH49" s="273">
        <v>34290</v>
      </c>
      <c r="BI49" s="274">
        <v>34423</v>
      </c>
      <c r="BJ49" s="61"/>
      <c r="BK49" s="131">
        <v>186.6</v>
      </c>
      <c r="BL49" s="131">
        <v>167.7</v>
      </c>
      <c r="BM49" s="61"/>
      <c r="BN49" s="274">
        <v>1523</v>
      </c>
      <c r="BO49" s="453"/>
      <c r="BP49" s="450">
        <v>1523</v>
      </c>
      <c r="BQ49" s="28">
        <v>7.53</v>
      </c>
      <c r="BR49" s="29">
        <v>4.8</v>
      </c>
      <c r="BS49" s="29"/>
      <c r="BT49" s="29">
        <v>31.48</v>
      </c>
      <c r="BU49" s="29">
        <v>31.9</v>
      </c>
      <c r="BV49" s="29"/>
      <c r="BW49" s="29">
        <v>1.28</v>
      </c>
      <c r="BX49" s="29">
        <v>1.1</v>
      </c>
      <c r="BY49" s="29"/>
      <c r="BZ49" s="29">
        <v>5.66</v>
      </c>
      <c r="CA49" s="29">
        <v>8.74</v>
      </c>
      <c r="CB49" s="30"/>
      <c r="CC49" s="28">
        <v>7.9</v>
      </c>
      <c r="CD49" s="29">
        <v>5.9</v>
      </c>
      <c r="CE49" s="29">
        <v>34.55</v>
      </c>
      <c r="CF49" s="29">
        <v>17.5</v>
      </c>
      <c r="CG49" s="29">
        <v>0</v>
      </c>
      <c r="CH49" s="29">
        <v>0</v>
      </c>
      <c r="CI49" s="29">
        <v>0</v>
      </c>
      <c r="CJ49" s="30">
        <v>0.037</v>
      </c>
    </row>
    <row r="50" spans="1:88" ht="16.5" customHeight="1">
      <c r="A50" s="592"/>
      <c r="B50" s="3" t="s">
        <v>24</v>
      </c>
      <c r="C50" s="273">
        <v>7196</v>
      </c>
      <c r="D50" s="667">
        <v>30</v>
      </c>
      <c r="E50" s="32">
        <f t="shared" si="45"/>
        <v>717.27</v>
      </c>
      <c r="F50" s="274">
        <v>647.04</v>
      </c>
      <c r="G50" s="274">
        <v>70.23</v>
      </c>
      <c r="H50" s="274">
        <v>629</v>
      </c>
      <c r="I50" s="274">
        <v>628.5</v>
      </c>
      <c r="J50" s="274"/>
      <c r="K50" s="450"/>
      <c r="L50" s="273">
        <f t="shared" si="46"/>
        <v>5807.86</v>
      </c>
      <c r="M50" s="274">
        <v>4779.46</v>
      </c>
      <c r="N50" s="274">
        <v>607.4</v>
      </c>
      <c r="O50" s="274">
        <v>421</v>
      </c>
      <c r="P50" s="274">
        <v>25</v>
      </c>
      <c r="Q50" s="274">
        <f t="shared" si="41"/>
        <v>232.31439999999998</v>
      </c>
      <c r="R50" s="274">
        <f>(+P50/30)*100</f>
        <v>83.33333333333334</v>
      </c>
      <c r="S50" s="274">
        <v>955</v>
      </c>
      <c r="T50" s="104"/>
      <c r="U50" s="104"/>
      <c r="V50" s="274">
        <v>9040</v>
      </c>
      <c r="W50" s="274">
        <v>38469</v>
      </c>
      <c r="X50" s="110">
        <v>3.4</v>
      </c>
      <c r="Y50" s="273">
        <f t="shared" si="47"/>
        <v>629.74</v>
      </c>
      <c r="Z50" s="274">
        <v>566.64</v>
      </c>
      <c r="AA50" s="274">
        <v>21.1</v>
      </c>
      <c r="AB50" s="274">
        <v>42</v>
      </c>
      <c r="AC50" s="274">
        <v>5</v>
      </c>
      <c r="AD50" s="274">
        <f t="shared" si="43"/>
        <v>125.94800000000001</v>
      </c>
      <c r="AE50" s="274">
        <f>(+AC50/30)*100</f>
        <v>16.666666666666664</v>
      </c>
      <c r="AF50" s="274">
        <v>921</v>
      </c>
      <c r="AG50" s="274"/>
      <c r="AH50" s="274"/>
      <c r="AI50" s="274"/>
      <c r="AJ50" s="274">
        <v>6042</v>
      </c>
      <c r="AK50" s="55">
        <v>3.4</v>
      </c>
      <c r="AL50" s="273">
        <v>7341</v>
      </c>
      <c r="AM50" s="274">
        <v>5485.8</v>
      </c>
      <c r="AN50" s="104"/>
      <c r="AO50" s="104"/>
      <c r="AP50" s="104"/>
      <c r="AQ50" s="104"/>
      <c r="AR50" s="104"/>
      <c r="AS50" s="104"/>
      <c r="AT50" s="104" t="s">
        <v>415</v>
      </c>
      <c r="AU50" s="662">
        <v>1855</v>
      </c>
      <c r="AV50" s="122">
        <v>0.351</v>
      </c>
      <c r="AW50" s="274">
        <v>1701</v>
      </c>
      <c r="AX50" s="22">
        <v>52.7</v>
      </c>
      <c r="AY50" s="22">
        <v>40.5</v>
      </c>
      <c r="AZ50" s="22">
        <v>6.8</v>
      </c>
      <c r="BA50" s="22">
        <v>22.6</v>
      </c>
      <c r="BB50" s="22">
        <v>8</v>
      </c>
      <c r="BC50" s="22">
        <v>21</v>
      </c>
      <c r="BD50" s="22">
        <v>40.2</v>
      </c>
      <c r="BE50" s="22">
        <v>5.5</v>
      </c>
      <c r="BF50" s="22">
        <v>2.7</v>
      </c>
      <c r="BG50" s="55"/>
      <c r="BH50" s="273">
        <v>44331</v>
      </c>
      <c r="BI50" s="274">
        <v>34579</v>
      </c>
      <c r="BJ50" s="61"/>
      <c r="BK50" s="131">
        <v>181.7</v>
      </c>
      <c r="BL50" s="131">
        <v>167.5</v>
      </c>
      <c r="BM50" s="61"/>
      <c r="BN50" s="274">
        <v>1673</v>
      </c>
      <c r="BO50" s="453"/>
      <c r="BP50" s="450">
        <v>1673</v>
      </c>
      <c r="BQ50" s="28">
        <v>16.01</v>
      </c>
      <c r="BR50" s="29">
        <v>0.9</v>
      </c>
      <c r="BS50" s="29"/>
      <c r="BT50" s="29">
        <v>20.81</v>
      </c>
      <c r="BU50" s="29">
        <v>22.95</v>
      </c>
      <c r="BV50" s="29"/>
      <c r="BW50" s="29">
        <v>1.26</v>
      </c>
      <c r="BX50" s="29">
        <v>0.15</v>
      </c>
      <c r="BY50" s="29"/>
      <c r="BZ50" s="29">
        <v>5.18</v>
      </c>
      <c r="CA50" s="29">
        <v>10.79</v>
      </c>
      <c r="CB50" s="30"/>
      <c r="CC50" s="28">
        <v>7.4</v>
      </c>
      <c r="CD50" s="29">
        <v>14.25</v>
      </c>
      <c r="CE50" s="29">
        <v>32.5</v>
      </c>
      <c r="CF50" s="29">
        <v>12</v>
      </c>
      <c r="CG50" s="29">
        <v>0.046</v>
      </c>
      <c r="CH50" s="29">
        <v>0</v>
      </c>
      <c r="CI50" s="29">
        <v>0</v>
      </c>
      <c r="CJ50" s="30">
        <v>0.051</v>
      </c>
    </row>
    <row r="51" spans="1:88" ht="16.5" customHeight="1">
      <c r="A51" s="592"/>
      <c r="B51" s="3" t="s">
        <v>25</v>
      </c>
      <c r="C51" s="273">
        <v>8447.62</v>
      </c>
      <c r="D51" s="667">
        <v>31</v>
      </c>
      <c r="E51" s="32">
        <f t="shared" si="45"/>
        <v>934.24</v>
      </c>
      <c r="F51" s="274">
        <v>863.55</v>
      </c>
      <c r="G51" s="274">
        <v>70.69</v>
      </c>
      <c r="H51" s="274">
        <v>553</v>
      </c>
      <c r="I51" s="274">
        <v>553.1</v>
      </c>
      <c r="J51" s="274"/>
      <c r="K51" s="450"/>
      <c r="L51" s="273">
        <f t="shared" si="46"/>
        <v>6520.97</v>
      </c>
      <c r="M51" s="274">
        <v>5737.67</v>
      </c>
      <c r="N51" s="274">
        <v>413.3</v>
      </c>
      <c r="O51" s="274">
        <v>370</v>
      </c>
      <c r="P51" s="274">
        <v>30</v>
      </c>
      <c r="Q51" s="274">
        <f t="shared" si="41"/>
        <v>217.36566666666667</v>
      </c>
      <c r="R51" s="274">
        <f>(+P51/31)*100</f>
        <v>96.7741935483871</v>
      </c>
      <c r="S51" s="274">
        <v>948</v>
      </c>
      <c r="T51" s="104"/>
      <c r="U51" s="104"/>
      <c r="V51" s="274">
        <v>4973</v>
      </c>
      <c r="W51" s="274">
        <v>50089</v>
      </c>
      <c r="X51" s="110">
        <v>2.9</v>
      </c>
      <c r="Y51" s="273">
        <f t="shared" si="47"/>
        <v>2844.55</v>
      </c>
      <c r="Z51" s="274">
        <v>2599.75</v>
      </c>
      <c r="AA51" s="274">
        <v>139.8</v>
      </c>
      <c r="AB51" s="274">
        <v>105</v>
      </c>
      <c r="AC51" s="274">
        <v>14</v>
      </c>
      <c r="AD51" s="274">
        <f t="shared" si="43"/>
        <v>203.18214285714288</v>
      </c>
      <c r="AE51" s="274">
        <f>(+AC51/31)*100</f>
        <v>45.16129032258064</v>
      </c>
      <c r="AF51" s="274">
        <v>929</v>
      </c>
      <c r="AG51" s="274"/>
      <c r="AH51" s="274"/>
      <c r="AI51" s="274"/>
      <c r="AJ51" s="274">
        <v>24403</v>
      </c>
      <c r="AK51" s="55">
        <v>2.9</v>
      </c>
      <c r="AL51" s="273">
        <v>11297</v>
      </c>
      <c r="AM51" s="274">
        <v>6382.3</v>
      </c>
      <c r="AN51" s="104"/>
      <c r="AO51" s="104"/>
      <c r="AP51" s="104"/>
      <c r="AQ51" s="104"/>
      <c r="AR51" s="104"/>
      <c r="AS51" s="104"/>
      <c r="AT51" s="104" t="s">
        <v>413</v>
      </c>
      <c r="AU51" s="662">
        <v>4915</v>
      </c>
      <c r="AV51" s="122">
        <v>0.378</v>
      </c>
      <c r="AW51" s="274">
        <v>1659</v>
      </c>
      <c r="AX51" s="22">
        <v>52.6</v>
      </c>
      <c r="AY51" s="22">
        <v>39.3</v>
      </c>
      <c r="AZ51" s="22">
        <v>8.1</v>
      </c>
      <c r="BA51" s="22">
        <v>26.4</v>
      </c>
      <c r="BB51" s="22">
        <v>2.7</v>
      </c>
      <c r="BC51" s="22">
        <v>23.4</v>
      </c>
      <c r="BD51" s="22">
        <v>34.3</v>
      </c>
      <c r="BE51" s="22">
        <v>8.2</v>
      </c>
      <c r="BF51" s="22">
        <v>5</v>
      </c>
      <c r="BG51" s="55"/>
      <c r="BH51" s="273">
        <v>46349</v>
      </c>
      <c r="BI51" s="274">
        <v>37349</v>
      </c>
      <c r="BJ51" s="61"/>
      <c r="BK51" s="131">
        <v>181.9</v>
      </c>
      <c r="BL51" s="131">
        <v>164.9</v>
      </c>
      <c r="BM51" s="61"/>
      <c r="BN51" s="274">
        <v>2074</v>
      </c>
      <c r="BO51" s="453"/>
      <c r="BP51" s="450">
        <v>2074</v>
      </c>
      <c r="BQ51" s="28">
        <v>18.54</v>
      </c>
      <c r="BR51" s="29">
        <v>12.91</v>
      </c>
      <c r="BS51" s="29"/>
      <c r="BT51" s="29">
        <v>28.35</v>
      </c>
      <c r="BU51" s="29">
        <v>26.98</v>
      </c>
      <c r="BV51" s="29"/>
      <c r="BW51" s="29">
        <v>0.5</v>
      </c>
      <c r="BX51" s="29">
        <v>0.13</v>
      </c>
      <c r="BY51" s="29"/>
      <c r="BZ51" s="29">
        <v>6.11</v>
      </c>
      <c r="CA51" s="29">
        <v>8.62</v>
      </c>
      <c r="CB51" s="30"/>
      <c r="CC51" s="28">
        <v>7.9</v>
      </c>
      <c r="CD51" s="29">
        <v>7.2</v>
      </c>
      <c r="CE51" s="29">
        <v>23</v>
      </c>
      <c r="CF51" s="29">
        <v>22.2</v>
      </c>
      <c r="CG51" s="29">
        <v>0.155</v>
      </c>
      <c r="CH51" s="29">
        <v>0.049</v>
      </c>
      <c r="CI51" s="29">
        <v>0</v>
      </c>
      <c r="CJ51" s="30">
        <v>0</v>
      </c>
    </row>
    <row r="52" spans="1:88" ht="16.5" customHeight="1">
      <c r="A52" s="592"/>
      <c r="B52" s="3" t="s">
        <v>26</v>
      </c>
      <c r="C52" s="273">
        <v>13444.62</v>
      </c>
      <c r="D52" s="667">
        <v>31</v>
      </c>
      <c r="E52" s="32">
        <f t="shared" si="45"/>
        <v>1535.65</v>
      </c>
      <c r="F52" s="274">
        <v>1400.93</v>
      </c>
      <c r="G52" s="274">
        <v>134.72</v>
      </c>
      <c r="H52" s="274">
        <v>1001</v>
      </c>
      <c r="I52" s="274">
        <v>1000.5</v>
      </c>
      <c r="J52" s="274"/>
      <c r="K52" s="450"/>
      <c r="L52" s="273">
        <f t="shared" si="46"/>
        <v>6341.54</v>
      </c>
      <c r="M52" s="274">
        <v>5560.34</v>
      </c>
      <c r="N52" s="274">
        <v>480.2</v>
      </c>
      <c r="O52" s="274">
        <v>301</v>
      </c>
      <c r="P52" s="274">
        <v>29</v>
      </c>
      <c r="Q52" s="274">
        <f t="shared" si="41"/>
        <v>218.67379310344828</v>
      </c>
      <c r="R52" s="274">
        <f>(+P52/31)*100</f>
        <v>93.54838709677419</v>
      </c>
      <c r="S52" s="274">
        <v>948</v>
      </c>
      <c r="T52" s="104"/>
      <c r="U52" s="104"/>
      <c r="V52" s="274"/>
      <c r="W52" s="274">
        <v>46771</v>
      </c>
      <c r="X52" s="110">
        <v>3.5</v>
      </c>
      <c r="Y52" s="273">
        <f t="shared" si="47"/>
        <v>7026.55</v>
      </c>
      <c r="Z52" s="274">
        <v>6186.25</v>
      </c>
      <c r="AA52" s="274">
        <v>520.3</v>
      </c>
      <c r="AB52" s="274">
        <v>320</v>
      </c>
      <c r="AC52" s="274">
        <v>31</v>
      </c>
      <c r="AD52" s="274">
        <f t="shared" si="43"/>
        <v>226.66290322580645</v>
      </c>
      <c r="AE52" s="274">
        <f>(+AC52/31)*100</f>
        <v>100</v>
      </c>
      <c r="AF52" s="274">
        <v>958</v>
      </c>
      <c r="AG52" s="274"/>
      <c r="AH52" s="274"/>
      <c r="AI52" s="274"/>
      <c r="AJ52" s="274">
        <v>58616</v>
      </c>
      <c r="AK52" s="55">
        <v>3.5</v>
      </c>
      <c r="AL52" s="273">
        <v>15286</v>
      </c>
      <c r="AM52" s="274">
        <v>6327.7</v>
      </c>
      <c r="AN52" s="104"/>
      <c r="AO52" s="104"/>
      <c r="AP52" s="104"/>
      <c r="AQ52" s="104"/>
      <c r="AR52" s="104"/>
      <c r="AS52" s="104"/>
      <c r="AT52" s="104" t="s">
        <v>416</v>
      </c>
      <c r="AU52" s="662">
        <v>8958</v>
      </c>
      <c r="AV52" s="122">
        <v>0.348</v>
      </c>
      <c r="AW52" s="274">
        <v>1689</v>
      </c>
      <c r="AX52" s="22">
        <v>51.8</v>
      </c>
      <c r="AY52" s="22">
        <v>38.8</v>
      </c>
      <c r="AZ52" s="22">
        <v>9.4</v>
      </c>
      <c r="BA52" s="22">
        <v>22.1</v>
      </c>
      <c r="BB52" s="22">
        <v>1.2</v>
      </c>
      <c r="BC52" s="22">
        <v>23.7</v>
      </c>
      <c r="BD52" s="22">
        <v>42</v>
      </c>
      <c r="BE52" s="22">
        <v>5.3</v>
      </c>
      <c r="BF52" s="22">
        <v>5.7</v>
      </c>
      <c r="BG52" s="55"/>
      <c r="BH52" s="273">
        <v>44583</v>
      </c>
      <c r="BI52" s="274">
        <v>43644</v>
      </c>
      <c r="BJ52" s="61"/>
      <c r="BK52" s="131">
        <v>186</v>
      </c>
      <c r="BL52" s="131">
        <v>170.2</v>
      </c>
      <c r="BM52" s="61"/>
      <c r="BN52" s="274">
        <v>2398</v>
      </c>
      <c r="BO52" s="453"/>
      <c r="BP52" s="450">
        <v>2398</v>
      </c>
      <c r="BQ52" s="28">
        <v>18.61</v>
      </c>
      <c r="BR52" s="29">
        <v>12.32</v>
      </c>
      <c r="BS52" s="29"/>
      <c r="BT52" s="29">
        <v>28.03</v>
      </c>
      <c r="BU52" s="29">
        <v>30.48</v>
      </c>
      <c r="BV52" s="29"/>
      <c r="BW52" s="29">
        <v>0.2</v>
      </c>
      <c r="BX52" s="29">
        <v>0.21</v>
      </c>
      <c r="BY52" s="29"/>
      <c r="BZ52" s="29">
        <v>5.66</v>
      </c>
      <c r="CA52" s="29">
        <v>9.1</v>
      </c>
      <c r="CB52" s="30"/>
      <c r="CC52" s="28">
        <v>7.7</v>
      </c>
      <c r="CD52" s="29">
        <v>11.35</v>
      </c>
      <c r="CE52" s="29">
        <v>33.8</v>
      </c>
      <c r="CF52" s="29">
        <v>17.5</v>
      </c>
      <c r="CG52" s="29">
        <v>0</v>
      </c>
      <c r="CH52" s="29">
        <v>0</v>
      </c>
      <c r="CI52" s="29">
        <v>0</v>
      </c>
      <c r="CJ52" s="30">
        <v>0</v>
      </c>
    </row>
    <row r="53" spans="1:88" ht="16.5" customHeight="1">
      <c r="A53" s="592"/>
      <c r="B53" s="3" t="s">
        <v>27</v>
      </c>
      <c r="C53" s="273">
        <v>9351.09</v>
      </c>
      <c r="D53" s="667">
        <v>30</v>
      </c>
      <c r="E53" s="32">
        <f t="shared" si="45"/>
        <v>1126.42</v>
      </c>
      <c r="F53" s="274">
        <v>997.89</v>
      </c>
      <c r="G53" s="274">
        <v>128.53</v>
      </c>
      <c r="H53" s="274">
        <v>647</v>
      </c>
      <c r="I53" s="274">
        <v>647.3</v>
      </c>
      <c r="J53" s="274"/>
      <c r="K53" s="450"/>
      <c r="L53" s="273">
        <f t="shared" si="46"/>
        <v>5597.73</v>
      </c>
      <c r="M53" s="274">
        <v>4984.23</v>
      </c>
      <c r="N53" s="274">
        <v>313.5</v>
      </c>
      <c r="O53" s="274">
        <v>300</v>
      </c>
      <c r="P53" s="274">
        <v>26</v>
      </c>
      <c r="Q53" s="274">
        <f t="shared" si="41"/>
        <v>215.29730769230767</v>
      </c>
      <c r="R53" s="274">
        <f>(+P53/30)*100</f>
        <v>86.66666666666667</v>
      </c>
      <c r="S53" s="274">
        <v>947</v>
      </c>
      <c r="T53" s="104"/>
      <c r="U53" s="104"/>
      <c r="V53" s="274">
        <v>4411</v>
      </c>
      <c r="W53" s="274">
        <v>48863</v>
      </c>
      <c r="X53" s="110">
        <v>3.5</v>
      </c>
      <c r="Y53" s="273">
        <f t="shared" si="47"/>
        <v>5465.45</v>
      </c>
      <c r="Z53" s="274">
        <v>4847.65</v>
      </c>
      <c r="AA53" s="274">
        <v>333.8</v>
      </c>
      <c r="AB53" s="274">
        <v>284</v>
      </c>
      <c r="AC53" s="274">
        <v>26</v>
      </c>
      <c r="AD53" s="274">
        <f t="shared" si="43"/>
        <v>210.20961538461538</v>
      </c>
      <c r="AE53" s="274">
        <f>(+AC53/30)*100</f>
        <v>86.66666666666667</v>
      </c>
      <c r="AF53" s="274">
        <v>953</v>
      </c>
      <c r="AG53" s="274"/>
      <c r="AH53" s="274"/>
      <c r="AI53" s="274">
        <v>3761</v>
      </c>
      <c r="AJ53" s="274">
        <v>53478</v>
      </c>
      <c r="AK53" s="55">
        <v>3.5</v>
      </c>
      <c r="AL53" s="273">
        <v>12933</v>
      </c>
      <c r="AM53" s="274">
        <v>8489</v>
      </c>
      <c r="AN53" s="104"/>
      <c r="AO53" s="104"/>
      <c r="AP53" s="104"/>
      <c r="AQ53" s="104"/>
      <c r="AR53" s="104"/>
      <c r="AS53" s="104"/>
      <c r="AT53" s="104" t="s">
        <v>45</v>
      </c>
      <c r="AU53" s="662">
        <v>4444</v>
      </c>
      <c r="AV53" s="122">
        <v>0.37</v>
      </c>
      <c r="AW53" s="274">
        <v>1631</v>
      </c>
      <c r="AX53" s="22">
        <v>53.7</v>
      </c>
      <c r="AY53" s="22">
        <v>38.5</v>
      </c>
      <c r="AZ53" s="22">
        <v>7.8</v>
      </c>
      <c r="BA53" s="22">
        <v>32.7</v>
      </c>
      <c r="BB53" s="22">
        <v>2.5</v>
      </c>
      <c r="BC53" s="22">
        <v>27.3</v>
      </c>
      <c r="BD53" s="22">
        <v>29.5</v>
      </c>
      <c r="BE53" s="22">
        <v>3.3</v>
      </c>
      <c r="BF53" s="22">
        <v>4.7</v>
      </c>
      <c r="BG53" s="55"/>
      <c r="BH53" s="273">
        <v>45480</v>
      </c>
      <c r="BI53" s="274">
        <v>45701</v>
      </c>
      <c r="BJ53" s="61"/>
      <c r="BK53" s="131">
        <v>185.7</v>
      </c>
      <c r="BL53" s="131">
        <v>168.5</v>
      </c>
      <c r="BM53" s="61"/>
      <c r="BN53" s="274">
        <v>2053</v>
      </c>
      <c r="BO53" s="453"/>
      <c r="BP53" s="450">
        <v>2053</v>
      </c>
      <c r="BQ53" s="28">
        <v>16.84</v>
      </c>
      <c r="BR53" s="29">
        <v>7.61</v>
      </c>
      <c r="BS53" s="29"/>
      <c r="BT53" s="29">
        <v>30.92</v>
      </c>
      <c r="BU53" s="29">
        <v>37.84</v>
      </c>
      <c r="BV53" s="29"/>
      <c r="BW53" s="29">
        <v>0.39</v>
      </c>
      <c r="BX53" s="29">
        <v>0.12</v>
      </c>
      <c r="BY53" s="29"/>
      <c r="BZ53" s="29">
        <v>6.23</v>
      </c>
      <c r="CA53" s="29">
        <v>10.66</v>
      </c>
      <c r="CB53" s="30"/>
      <c r="CC53" s="28">
        <v>7.95</v>
      </c>
      <c r="CD53" s="29">
        <v>6.65</v>
      </c>
      <c r="CE53" s="29">
        <v>24.6</v>
      </c>
      <c r="CF53" s="29">
        <v>16.85</v>
      </c>
      <c r="CG53" s="29">
        <v>0.03</v>
      </c>
      <c r="CH53" s="29">
        <v>0</v>
      </c>
      <c r="CI53" s="29">
        <v>0</v>
      </c>
      <c r="CJ53" s="30">
        <v>0</v>
      </c>
    </row>
    <row r="54" spans="1:88" ht="16.5" customHeight="1">
      <c r="A54" s="592"/>
      <c r="B54" s="3" t="s">
        <v>28</v>
      </c>
      <c r="C54" s="273">
        <v>6332.93</v>
      </c>
      <c r="D54" s="667">
        <v>21</v>
      </c>
      <c r="E54" s="32">
        <f t="shared" si="45"/>
        <v>1107.02</v>
      </c>
      <c r="F54" s="274">
        <v>1033.18</v>
      </c>
      <c r="G54" s="274">
        <v>73.84</v>
      </c>
      <c r="H54" s="274">
        <v>378</v>
      </c>
      <c r="I54" s="274">
        <v>378.1</v>
      </c>
      <c r="J54" s="274"/>
      <c r="K54" s="450"/>
      <c r="L54" s="273">
        <f t="shared" si="46"/>
        <v>4616.5599999999995</v>
      </c>
      <c r="M54" s="274">
        <v>4095.66</v>
      </c>
      <c r="N54" s="274">
        <v>250.9</v>
      </c>
      <c r="O54" s="274">
        <v>270</v>
      </c>
      <c r="P54" s="274">
        <v>24</v>
      </c>
      <c r="Q54" s="274">
        <f t="shared" si="41"/>
        <v>192.35666666666665</v>
      </c>
      <c r="R54" s="274">
        <f>(+P54/31)*100</f>
        <v>77.41935483870968</v>
      </c>
      <c r="S54" s="274">
        <v>947</v>
      </c>
      <c r="T54" s="104"/>
      <c r="U54" s="104"/>
      <c r="V54" s="274">
        <v>3354</v>
      </c>
      <c r="W54" s="274">
        <v>43616</v>
      </c>
      <c r="X54" s="110">
        <v>4.2</v>
      </c>
      <c r="Y54" s="273">
        <f t="shared" si="47"/>
        <v>3280.7</v>
      </c>
      <c r="Z54" s="274">
        <v>2950.5</v>
      </c>
      <c r="AA54" s="274">
        <v>127.2</v>
      </c>
      <c r="AB54" s="274">
        <v>203</v>
      </c>
      <c r="AC54" s="274">
        <v>19</v>
      </c>
      <c r="AD54" s="274">
        <f t="shared" si="43"/>
        <v>172.66842105263157</v>
      </c>
      <c r="AE54" s="274">
        <f>(+AC54/31)*100</f>
        <v>61.29032258064516</v>
      </c>
      <c r="AF54" s="274">
        <v>936</v>
      </c>
      <c r="AG54" s="274"/>
      <c r="AH54" s="274"/>
      <c r="AI54" s="274">
        <v>1910</v>
      </c>
      <c r="AJ54" s="274">
        <v>37867</v>
      </c>
      <c r="AK54" s="55">
        <v>4.2</v>
      </c>
      <c r="AL54" s="273">
        <v>10913</v>
      </c>
      <c r="AM54" s="274">
        <v>7517.2</v>
      </c>
      <c r="AN54" s="104"/>
      <c r="AO54" s="104"/>
      <c r="AP54" s="104"/>
      <c r="AQ54" s="104"/>
      <c r="AR54" s="104"/>
      <c r="AS54" s="104"/>
      <c r="AT54" s="104" t="s">
        <v>417</v>
      </c>
      <c r="AU54" s="662">
        <v>3396</v>
      </c>
      <c r="AV54" s="122">
        <v>0.368</v>
      </c>
      <c r="AW54" s="274">
        <v>1668</v>
      </c>
      <c r="AX54" s="22">
        <v>48.2</v>
      </c>
      <c r="AY54" s="22">
        <v>43</v>
      </c>
      <c r="AZ54" s="22">
        <v>7.8</v>
      </c>
      <c r="BA54" s="22">
        <v>32.6</v>
      </c>
      <c r="BB54" s="22">
        <v>2.5</v>
      </c>
      <c r="BC54" s="22">
        <v>28.9</v>
      </c>
      <c r="BD54" s="22">
        <v>27.1</v>
      </c>
      <c r="BE54" s="22">
        <v>3.8</v>
      </c>
      <c r="BF54" s="22">
        <v>5.1</v>
      </c>
      <c r="BG54" s="55"/>
      <c r="BH54" s="273">
        <v>43957</v>
      </c>
      <c r="BI54" s="274">
        <v>47680</v>
      </c>
      <c r="BJ54" s="61"/>
      <c r="BK54" s="131">
        <v>186.3</v>
      </c>
      <c r="BL54" s="131">
        <v>167.8</v>
      </c>
      <c r="BM54" s="61"/>
      <c r="BN54" s="274">
        <v>2218</v>
      </c>
      <c r="BO54" s="453"/>
      <c r="BP54" s="450">
        <v>2218</v>
      </c>
      <c r="BQ54" s="28">
        <v>20.75</v>
      </c>
      <c r="BR54" s="29">
        <v>9.51</v>
      </c>
      <c r="BS54" s="29"/>
      <c r="BT54" s="29">
        <v>39.51</v>
      </c>
      <c r="BU54" s="29">
        <v>31.11</v>
      </c>
      <c r="BV54" s="29"/>
      <c r="BW54" s="29">
        <v>0.55</v>
      </c>
      <c r="BX54" s="29">
        <v>0.1</v>
      </c>
      <c r="BY54" s="29"/>
      <c r="BZ54" s="29">
        <v>6.03</v>
      </c>
      <c r="CA54" s="29">
        <v>10.6</v>
      </c>
      <c r="CB54" s="30"/>
      <c r="CC54" s="28">
        <v>7.7</v>
      </c>
      <c r="CD54" s="29">
        <v>14.4</v>
      </c>
      <c r="CE54" s="29">
        <v>30.45</v>
      </c>
      <c r="CF54" s="29">
        <v>29.5</v>
      </c>
      <c r="CG54" s="29">
        <v>0</v>
      </c>
      <c r="CH54" s="29">
        <v>0</v>
      </c>
      <c r="CI54" s="29">
        <v>0</v>
      </c>
      <c r="CJ54" s="30">
        <v>0.08</v>
      </c>
    </row>
    <row r="55" spans="1:88" ht="16.5" customHeight="1">
      <c r="A55" s="592"/>
      <c r="B55" s="3" t="s">
        <v>29</v>
      </c>
      <c r="C55" s="273">
        <v>11146.61</v>
      </c>
      <c r="D55" s="667">
        <v>30</v>
      </c>
      <c r="E55" s="32">
        <f t="shared" si="45"/>
        <v>1910.7</v>
      </c>
      <c r="F55" s="274">
        <v>1799.19</v>
      </c>
      <c r="G55" s="274">
        <v>111.51</v>
      </c>
      <c r="H55" s="274">
        <v>306</v>
      </c>
      <c r="I55" s="274">
        <v>306.2</v>
      </c>
      <c r="J55" s="274"/>
      <c r="K55" s="450"/>
      <c r="L55" s="273">
        <f t="shared" si="46"/>
        <v>6219.33</v>
      </c>
      <c r="M55" s="274">
        <v>5677.13</v>
      </c>
      <c r="N55" s="274">
        <v>232.2</v>
      </c>
      <c r="O55" s="274">
        <v>310</v>
      </c>
      <c r="P55" s="274">
        <v>30</v>
      </c>
      <c r="Q55" s="274">
        <f t="shared" si="41"/>
        <v>207.311</v>
      </c>
      <c r="R55" s="274">
        <f>(+P55/30)*100</f>
        <v>100</v>
      </c>
      <c r="S55" s="274">
        <v>954</v>
      </c>
      <c r="T55" s="104"/>
      <c r="U55" s="104"/>
      <c r="V55" s="274"/>
      <c r="W55" s="274">
        <v>59880</v>
      </c>
      <c r="X55" s="110">
        <v>3.2</v>
      </c>
      <c r="Y55" s="273">
        <f t="shared" si="47"/>
        <v>5253.66</v>
      </c>
      <c r="Z55" s="274">
        <v>4909.66</v>
      </c>
      <c r="AA55" s="274">
        <v>74</v>
      </c>
      <c r="AB55" s="274">
        <v>270</v>
      </c>
      <c r="AC55" s="274">
        <v>28</v>
      </c>
      <c r="AD55" s="274">
        <f t="shared" si="43"/>
        <v>187.63071428571428</v>
      </c>
      <c r="AE55" s="274">
        <f>(+AC55/30)*100</f>
        <v>93.33333333333333</v>
      </c>
      <c r="AF55" s="274">
        <v>912</v>
      </c>
      <c r="AG55" s="274"/>
      <c r="AH55" s="274"/>
      <c r="AI55" s="274"/>
      <c r="AJ55" s="274">
        <v>56837</v>
      </c>
      <c r="AK55" s="55">
        <v>3.2</v>
      </c>
      <c r="AL55" s="273">
        <v>14840</v>
      </c>
      <c r="AM55" s="274">
        <v>10775.1</v>
      </c>
      <c r="AN55" s="104"/>
      <c r="AO55" s="104"/>
      <c r="AP55" s="104"/>
      <c r="AQ55" s="104"/>
      <c r="AR55" s="104"/>
      <c r="AS55" s="104"/>
      <c r="AT55" s="104" t="s">
        <v>411</v>
      </c>
      <c r="AU55" s="662">
        <v>4065</v>
      </c>
      <c r="AV55" s="122">
        <v>0.351</v>
      </c>
      <c r="AW55" s="274">
        <v>1597</v>
      </c>
      <c r="AX55" s="22">
        <v>48.1</v>
      </c>
      <c r="AY55" s="22">
        <v>43.1</v>
      </c>
      <c r="AZ55" s="22">
        <v>8.8</v>
      </c>
      <c r="BA55" s="22">
        <v>29.3</v>
      </c>
      <c r="BB55" s="22">
        <v>4.2</v>
      </c>
      <c r="BC55" s="22">
        <v>27.7</v>
      </c>
      <c r="BD55" s="22">
        <v>29.1</v>
      </c>
      <c r="BE55" s="22">
        <v>4.5</v>
      </c>
      <c r="BF55" s="22">
        <v>5.2</v>
      </c>
      <c r="BG55" s="55"/>
      <c r="BH55" s="273">
        <v>46902</v>
      </c>
      <c r="BI55" s="274">
        <v>45907</v>
      </c>
      <c r="BJ55" s="61"/>
      <c r="BK55" s="131">
        <v>185.8</v>
      </c>
      <c r="BL55" s="131">
        <v>165.1</v>
      </c>
      <c r="BM55" s="61"/>
      <c r="BN55" s="274">
        <v>2446</v>
      </c>
      <c r="BO55" s="453"/>
      <c r="BP55" s="450">
        <v>2446</v>
      </c>
      <c r="BQ55" s="28">
        <v>11.68</v>
      </c>
      <c r="BR55" s="29">
        <v>1.67</v>
      </c>
      <c r="BS55" s="29"/>
      <c r="BT55" s="29">
        <v>34.7</v>
      </c>
      <c r="BU55" s="29">
        <v>25.58</v>
      </c>
      <c r="BV55" s="29"/>
      <c r="BW55" s="29">
        <v>0.7</v>
      </c>
      <c r="BX55" s="29">
        <v>0.39</v>
      </c>
      <c r="BY55" s="29"/>
      <c r="BZ55" s="29">
        <v>5.67</v>
      </c>
      <c r="CA55" s="29">
        <v>7.37</v>
      </c>
      <c r="CB55" s="30"/>
      <c r="CC55" s="28">
        <v>7.1</v>
      </c>
      <c r="CD55" s="29">
        <v>16.7</v>
      </c>
      <c r="CE55" s="29">
        <v>27.1</v>
      </c>
      <c r="CF55" s="29">
        <v>36.5</v>
      </c>
      <c r="CG55" s="29">
        <v>0.246</v>
      </c>
      <c r="CH55" s="29">
        <v>0.447</v>
      </c>
      <c r="CI55" s="29">
        <v>0</v>
      </c>
      <c r="CJ55" s="30">
        <v>0.011</v>
      </c>
    </row>
    <row r="56" spans="1:88" ht="16.5" customHeight="1" thickBot="1">
      <c r="A56" s="593"/>
      <c r="B56" s="4" t="s">
        <v>30</v>
      </c>
      <c r="C56" s="276">
        <v>11491.11</v>
      </c>
      <c r="D56" s="668">
        <v>31</v>
      </c>
      <c r="E56" s="99">
        <f t="shared" si="45"/>
        <v>1637.43</v>
      </c>
      <c r="F56" s="277">
        <v>1546.19</v>
      </c>
      <c r="G56" s="277">
        <v>91.24</v>
      </c>
      <c r="H56" s="277">
        <v>42</v>
      </c>
      <c r="I56" s="277">
        <v>42.1</v>
      </c>
      <c r="J56" s="277"/>
      <c r="K56" s="454"/>
      <c r="L56" s="276">
        <f t="shared" si="46"/>
        <v>6168.47</v>
      </c>
      <c r="M56" s="277">
        <v>5778.17</v>
      </c>
      <c r="N56" s="277">
        <v>32.3</v>
      </c>
      <c r="O56" s="277">
        <v>358</v>
      </c>
      <c r="P56" s="277">
        <v>31</v>
      </c>
      <c r="Q56" s="277">
        <f t="shared" si="41"/>
        <v>198.98290322580647</v>
      </c>
      <c r="R56" s="277">
        <f>(+P56/31)*100</f>
        <v>100</v>
      </c>
      <c r="S56" s="277">
        <v>935</v>
      </c>
      <c r="T56" s="112"/>
      <c r="U56" s="112"/>
      <c r="V56" s="277"/>
      <c r="W56" s="277">
        <v>66671</v>
      </c>
      <c r="X56" s="113">
        <v>3.5</v>
      </c>
      <c r="Y56" s="455">
        <f t="shared" si="47"/>
        <v>6398.400000000001</v>
      </c>
      <c r="Z56" s="456">
        <v>5998.6</v>
      </c>
      <c r="AA56" s="456">
        <v>9.8</v>
      </c>
      <c r="AB56" s="456">
        <v>390</v>
      </c>
      <c r="AC56" s="456">
        <v>31</v>
      </c>
      <c r="AD56" s="456">
        <f t="shared" si="43"/>
        <v>206.4</v>
      </c>
      <c r="AE56" s="456">
        <f>(+AC56/31)*100</f>
        <v>100</v>
      </c>
      <c r="AF56" s="456">
        <v>935</v>
      </c>
      <c r="AG56" s="456"/>
      <c r="AH56" s="456"/>
      <c r="AI56" s="456"/>
      <c r="AJ56" s="456">
        <v>65398</v>
      </c>
      <c r="AK56" s="610">
        <v>3.5</v>
      </c>
      <c r="AL56" s="276">
        <v>14751</v>
      </c>
      <c r="AM56" s="277">
        <v>11048.5</v>
      </c>
      <c r="AN56" s="112"/>
      <c r="AO56" s="112"/>
      <c r="AP56" s="112"/>
      <c r="AQ56" s="112"/>
      <c r="AR56" s="112"/>
      <c r="AS56" s="112"/>
      <c r="AT56" s="112" t="s">
        <v>418</v>
      </c>
      <c r="AU56" s="663">
        <v>3703</v>
      </c>
      <c r="AV56" s="123">
        <v>0.339</v>
      </c>
      <c r="AW56" s="277">
        <v>1713</v>
      </c>
      <c r="AX56" s="43">
        <v>50.9</v>
      </c>
      <c r="AY56" s="43">
        <v>41.2</v>
      </c>
      <c r="AZ56" s="43">
        <v>7.9</v>
      </c>
      <c r="BA56" s="43">
        <v>28</v>
      </c>
      <c r="BB56" s="43">
        <v>3.7</v>
      </c>
      <c r="BC56" s="43">
        <v>21.7</v>
      </c>
      <c r="BD56" s="43">
        <v>39.2</v>
      </c>
      <c r="BE56" s="43">
        <v>3.6</v>
      </c>
      <c r="BF56" s="43">
        <v>3.8</v>
      </c>
      <c r="BG56" s="71"/>
      <c r="BH56" s="276">
        <v>44927</v>
      </c>
      <c r="BI56" s="277">
        <v>46380</v>
      </c>
      <c r="BJ56" s="132"/>
      <c r="BK56" s="133">
        <v>185.4</v>
      </c>
      <c r="BL56" s="133">
        <v>165.6</v>
      </c>
      <c r="BM56" s="132"/>
      <c r="BN56" s="277">
        <v>2679</v>
      </c>
      <c r="BO56" s="457"/>
      <c r="BP56" s="454">
        <v>2679</v>
      </c>
      <c r="BQ56" s="42">
        <v>12.05</v>
      </c>
      <c r="BR56" s="31">
        <v>5.99</v>
      </c>
      <c r="BS56" s="31"/>
      <c r="BT56" s="31">
        <v>29.7</v>
      </c>
      <c r="BU56" s="31">
        <v>30.74</v>
      </c>
      <c r="BV56" s="31"/>
      <c r="BW56" s="31">
        <v>2.36</v>
      </c>
      <c r="BX56" s="31">
        <v>0.63</v>
      </c>
      <c r="BY56" s="31"/>
      <c r="BZ56" s="31">
        <v>5.63</v>
      </c>
      <c r="CA56" s="31">
        <v>8.14</v>
      </c>
      <c r="CB56" s="73"/>
      <c r="CC56" s="42">
        <v>7.3</v>
      </c>
      <c r="CD56" s="31">
        <v>12.4</v>
      </c>
      <c r="CE56" s="31">
        <v>22.25</v>
      </c>
      <c r="CF56" s="31">
        <v>26.25</v>
      </c>
      <c r="CG56" s="31">
        <v>0.05</v>
      </c>
      <c r="CH56" s="31">
        <v>0</v>
      </c>
      <c r="CI56" s="31">
        <v>0</v>
      </c>
      <c r="CJ56" s="73">
        <v>0</v>
      </c>
    </row>
    <row r="57" spans="1:88" ht="16.5" customHeight="1" thickTop="1">
      <c r="A57" s="590" t="s">
        <v>54</v>
      </c>
      <c r="B57" s="2" t="s">
        <v>48</v>
      </c>
      <c r="C57" s="52">
        <f aca="true" t="shared" si="48" ref="C57:N57">SUM(C58:C69)</f>
        <v>61462.88999999999</v>
      </c>
      <c r="D57" s="47">
        <f t="shared" si="48"/>
        <v>319</v>
      </c>
      <c r="E57" s="47">
        <f t="shared" si="48"/>
        <v>9534.946</v>
      </c>
      <c r="F57" s="47">
        <f t="shared" si="48"/>
        <v>8982.86</v>
      </c>
      <c r="G57" s="47">
        <f t="shared" si="48"/>
        <v>552.086</v>
      </c>
      <c r="H57" s="47">
        <f t="shared" si="48"/>
        <v>2347</v>
      </c>
      <c r="I57" s="12">
        <f t="shared" si="48"/>
        <v>2347</v>
      </c>
      <c r="J57" s="12">
        <f t="shared" si="48"/>
        <v>0</v>
      </c>
      <c r="K57" s="16">
        <f t="shared" si="48"/>
        <v>0</v>
      </c>
      <c r="L57" s="594">
        <f t="shared" si="48"/>
        <v>61891.61000000001</v>
      </c>
      <c r="M57" s="134">
        <f t="shared" si="48"/>
        <v>59547.61000000001</v>
      </c>
      <c r="N57" s="134">
        <f t="shared" si="48"/>
        <v>2344</v>
      </c>
      <c r="O57" s="134"/>
      <c r="P57" s="134">
        <f>SUM(P58:P69)</f>
        <v>315.20000000000005</v>
      </c>
      <c r="Q57" s="134">
        <f t="shared" si="41"/>
        <v>196.35663071065989</v>
      </c>
      <c r="R57" s="134">
        <f>(L57/316)/200*100</f>
        <v>97.92976265822786</v>
      </c>
      <c r="S57" s="134">
        <f>AVERAGE(S58:S69)</f>
        <v>934.2216666666667</v>
      </c>
      <c r="T57" s="134">
        <f>SUM(T58:T69)</f>
        <v>17237</v>
      </c>
      <c r="U57" s="134">
        <f>SUM(U58:U69)</f>
        <v>587634</v>
      </c>
      <c r="V57" s="135"/>
      <c r="W57" s="135"/>
      <c r="X57" s="595">
        <f>AVERAGE(X58:X69)</f>
        <v>5.075</v>
      </c>
      <c r="Y57" s="611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612"/>
      <c r="AL57" s="139">
        <f>SUM(AL58:AL69)</f>
        <v>126107.33000000003</v>
      </c>
      <c r="AM57" s="140"/>
      <c r="AN57" s="140"/>
      <c r="AO57" s="140">
        <f>SUM(AO58:AO69)</f>
        <v>70266.45</v>
      </c>
      <c r="AP57" s="140">
        <f>SUM(AP58:AP69)</f>
        <v>4716</v>
      </c>
      <c r="AQ57" s="140">
        <f>SUM(AQ58:AQ69)</f>
        <v>4716</v>
      </c>
      <c r="AR57" s="140"/>
      <c r="AS57" s="140"/>
      <c r="AT57" s="140">
        <f>SUM(AT58:AT69)</f>
        <v>3396.25</v>
      </c>
      <c r="AU57" s="141">
        <f>SUM(AU58:AU69)</f>
        <v>52444.630000000005</v>
      </c>
      <c r="AV57" s="154">
        <f aca="true" t="shared" si="49" ref="AV57:BD57">AVERAGE(AV58:AV69)</f>
        <v>0.3199166666666667</v>
      </c>
      <c r="AW57" s="155">
        <f t="shared" si="49"/>
        <v>1499.9333333333332</v>
      </c>
      <c r="AX57" s="156">
        <f t="shared" si="49"/>
        <v>56.475</v>
      </c>
      <c r="AY57" s="156">
        <f t="shared" si="49"/>
        <v>34.94166666666667</v>
      </c>
      <c r="AZ57" s="156">
        <f t="shared" si="49"/>
        <v>8.641666666666667</v>
      </c>
      <c r="BA57" s="156">
        <f t="shared" si="49"/>
        <v>31.224999999999998</v>
      </c>
      <c r="BB57" s="156">
        <f t="shared" si="49"/>
        <v>2.1249999999999996</v>
      </c>
      <c r="BC57" s="156">
        <f t="shared" si="49"/>
        <v>14.691666666666665</v>
      </c>
      <c r="BD57" s="156">
        <f t="shared" si="49"/>
        <v>49.875</v>
      </c>
      <c r="BE57" s="156"/>
      <c r="BF57" s="156">
        <f>AVERAGE(BF58:BF69)</f>
        <v>2.2166666666666663</v>
      </c>
      <c r="BG57" s="157"/>
      <c r="BH57" s="173">
        <f>AVERAGE(BH58:BH69)</f>
        <v>30749.5</v>
      </c>
      <c r="BI57" s="174"/>
      <c r="BJ57" s="174"/>
      <c r="BK57" s="175">
        <f>AVERAGE(BK58:BK69)</f>
        <v>207.35666666666665</v>
      </c>
      <c r="BL57" s="174"/>
      <c r="BM57" s="174"/>
      <c r="BN57" s="155">
        <f>AVERAGE(BN58:BN69)</f>
        <v>2263.5</v>
      </c>
      <c r="BO57" s="174"/>
      <c r="BP57" s="176">
        <f>AVERAGE(BP58:BP69)</f>
        <v>2263.5</v>
      </c>
      <c r="BQ57" s="181">
        <f>AVERAGE(BQ58:BQ69)</f>
        <v>3.953333333333333</v>
      </c>
      <c r="BR57" s="182"/>
      <c r="BS57" s="182"/>
      <c r="BT57" s="182">
        <f>AVERAGE(BT58:BT69)</f>
        <v>34.185</v>
      </c>
      <c r="BU57" s="182"/>
      <c r="BV57" s="182"/>
      <c r="BW57" s="182">
        <f>AVERAGE(BW58:BW69)</f>
        <v>1.6749999999999998</v>
      </c>
      <c r="BX57" s="182"/>
      <c r="BY57" s="182"/>
      <c r="BZ57" s="182">
        <f>AVERAGE(BZ58:BZ69)</f>
        <v>9.206666666666667</v>
      </c>
      <c r="CA57" s="182"/>
      <c r="CB57" s="183"/>
      <c r="CC57" s="190">
        <f>AVERAGE(CC58:CC69)</f>
        <v>7.1499999999999995</v>
      </c>
      <c r="CD57" s="191">
        <f>AVERAGE(CD58:CD69)</f>
        <v>4.391666666666667</v>
      </c>
      <c r="CE57" s="191">
        <f>AVERAGE(CE58:CE69)</f>
        <v>5.766666666666667</v>
      </c>
      <c r="CF57" s="191">
        <f>AVERAGE(CF58:CF69)</f>
        <v>6.441666666666666</v>
      </c>
      <c r="CG57" s="191">
        <f>AVERAGE(CG58:CG69)</f>
        <v>0.030666666666666665</v>
      </c>
      <c r="CH57" s="191">
        <f>SUM(CH58:CH69)/12</f>
        <v>0.14041666666666666</v>
      </c>
      <c r="CI57" s="191" t="s">
        <v>38</v>
      </c>
      <c r="CJ57" s="192" t="s">
        <v>38</v>
      </c>
    </row>
    <row r="58" spans="1:88" ht="16.5" customHeight="1">
      <c r="A58" s="591"/>
      <c r="B58" s="3" t="s">
        <v>19</v>
      </c>
      <c r="C58" s="39">
        <v>4719.76</v>
      </c>
      <c r="D58" s="14">
        <v>24</v>
      </c>
      <c r="E58" s="14">
        <f aca="true" t="shared" si="50" ref="E58:E69">F58+G58</f>
        <v>672.327</v>
      </c>
      <c r="F58" s="14">
        <v>626.92</v>
      </c>
      <c r="G58" s="14">
        <v>45.407</v>
      </c>
      <c r="H58" s="14">
        <f>+I58+J58+K58</f>
        <v>154</v>
      </c>
      <c r="I58" s="13">
        <v>154</v>
      </c>
      <c r="J58" s="14"/>
      <c r="K58" s="18">
        <v>0</v>
      </c>
      <c r="L58" s="117">
        <v>5015.8</v>
      </c>
      <c r="M58" s="136">
        <f aca="true" t="shared" si="51" ref="M58:M69">L58-N58</f>
        <v>4862.3</v>
      </c>
      <c r="N58" s="136">
        <v>153.5</v>
      </c>
      <c r="O58" s="136"/>
      <c r="P58" s="136">
        <v>25.8</v>
      </c>
      <c r="Q58" s="136">
        <f t="shared" si="41"/>
        <v>194.4108527131783</v>
      </c>
      <c r="R58" s="136">
        <f>(L58/31)/200*100</f>
        <v>80.9</v>
      </c>
      <c r="S58" s="136">
        <v>922.82</v>
      </c>
      <c r="T58" s="136">
        <v>3658</v>
      </c>
      <c r="U58" s="136">
        <v>70424</v>
      </c>
      <c r="V58" s="137"/>
      <c r="W58" s="137"/>
      <c r="X58" s="596">
        <v>4.6</v>
      </c>
      <c r="Y58" s="95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152"/>
      <c r="AL58" s="142">
        <v>10595.87</v>
      </c>
      <c r="AM58" s="143"/>
      <c r="AN58" s="143"/>
      <c r="AO58" s="143">
        <v>5700.76</v>
      </c>
      <c r="AP58" s="143">
        <v>376</v>
      </c>
      <c r="AQ58" s="143">
        <v>376</v>
      </c>
      <c r="AR58" s="143"/>
      <c r="AS58" s="143"/>
      <c r="AT58" s="143">
        <v>459.63</v>
      </c>
      <c r="AU58" s="144">
        <f aca="true" t="shared" si="52" ref="AU58:AU69">AL58-AO58-AT58</f>
        <v>4435.4800000000005</v>
      </c>
      <c r="AV58" s="158">
        <v>0.284</v>
      </c>
      <c r="AW58" s="159">
        <v>1496.5</v>
      </c>
      <c r="AX58" s="160">
        <v>53.4</v>
      </c>
      <c r="AY58" s="160">
        <v>39.5</v>
      </c>
      <c r="AZ58" s="160">
        <v>7.2</v>
      </c>
      <c r="BA58" s="160">
        <v>35.6</v>
      </c>
      <c r="BB58" s="160">
        <v>3.9</v>
      </c>
      <c r="BC58" s="160">
        <v>15.2</v>
      </c>
      <c r="BD58" s="160">
        <v>43</v>
      </c>
      <c r="BE58" s="160"/>
      <c r="BF58" s="160">
        <v>2.4</v>
      </c>
      <c r="BG58" s="161"/>
      <c r="BH58" s="143">
        <v>30478</v>
      </c>
      <c r="BI58" s="177"/>
      <c r="BJ58" s="177"/>
      <c r="BK58" s="143">
        <v>229.7</v>
      </c>
      <c r="BL58" s="177"/>
      <c r="BM58" s="177"/>
      <c r="BN58" s="159">
        <v>2471</v>
      </c>
      <c r="BO58" s="177"/>
      <c r="BP58" s="178">
        <v>2471</v>
      </c>
      <c r="BQ58" s="184">
        <v>4.06</v>
      </c>
      <c r="BR58" s="185"/>
      <c r="BS58" s="185"/>
      <c r="BT58" s="185">
        <v>34.01</v>
      </c>
      <c r="BU58" s="185"/>
      <c r="BV58" s="185"/>
      <c r="BW58" s="185">
        <v>1.92</v>
      </c>
      <c r="BX58" s="185"/>
      <c r="BY58" s="185"/>
      <c r="BZ58" s="185">
        <v>9.4</v>
      </c>
      <c r="CA58" s="185"/>
      <c r="CB58" s="186"/>
      <c r="CC58" s="193">
        <v>7.1</v>
      </c>
      <c r="CD58" s="194">
        <v>5</v>
      </c>
      <c r="CE58" s="194">
        <v>7.2</v>
      </c>
      <c r="CF58" s="194">
        <v>4.3</v>
      </c>
      <c r="CG58" s="194">
        <v>0.058</v>
      </c>
      <c r="CH58" s="194" t="s">
        <v>38</v>
      </c>
      <c r="CI58" s="194" t="s">
        <v>38</v>
      </c>
      <c r="CJ58" s="195" t="s">
        <v>38</v>
      </c>
    </row>
    <row r="59" spans="1:88" ht="16.5" customHeight="1">
      <c r="A59" s="591"/>
      <c r="B59" s="3" t="s">
        <v>20</v>
      </c>
      <c r="C59" s="39">
        <v>4392.04</v>
      </c>
      <c r="D59" s="14">
        <v>24</v>
      </c>
      <c r="E59" s="14">
        <f t="shared" si="50"/>
        <v>667.6750000000001</v>
      </c>
      <c r="F59" s="14">
        <v>626.96</v>
      </c>
      <c r="G59" s="14">
        <v>40.715</v>
      </c>
      <c r="H59" s="14">
        <f aca="true" t="shared" si="53" ref="H59:H69">+I59+J59+K59</f>
        <v>145</v>
      </c>
      <c r="I59" s="14">
        <v>145</v>
      </c>
      <c r="J59" s="14"/>
      <c r="K59" s="18"/>
      <c r="L59" s="117">
        <v>4574.26</v>
      </c>
      <c r="M59" s="136">
        <f t="shared" si="51"/>
        <v>4429.26</v>
      </c>
      <c r="N59" s="136">
        <v>145</v>
      </c>
      <c r="O59" s="136"/>
      <c r="P59" s="136">
        <v>23</v>
      </c>
      <c r="Q59" s="136">
        <f t="shared" si="41"/>
        <v>198.8808695652174</v>
      </c>
      <c r="R59" s="136">
        <f>(L59/29)/200*100</f>
        <v>78.86655172413793</v>
      </c>
      <c r="S59" s="136">
        <v>947.3</v>
      </c>
      <c r="T59" s="136">
        <v>2596</v>
      </c>
      <c r="U59" s="136">
        <v>62220</v>
      </c>
      <c r="V59" s="137"/>
      <c r="W59" s="137"/>
      <c r="X59" s="596">
        <v>4.4</v>
      </c>
      <c r="Y59" s="95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152"/>
      <c r="AL59" s="145">
        <v>9605.97</v>
      </c>
      <c r="AM59" s="146"/>
      <c r="AN59" s="146"/>
      <c r="AO59" s="146">
        <v>5140.09</v>
      </c>
      <c r="AP59" s="146">
        <v>341</v>
      </c>
      <c r="AQ59" s="146">
        <v>341</v>
      </c>
      <c r="AR59" s="146"/>
      <c r="AS59" s="146"/>
      <c r="AT59" s="146">
        <v>411.37</v>
      </c>
      <c r="AU59" s="147">
        <f t="shared" si="52"/>
        <v>4054.5099999999993</v>
      </c>
      <c r="AV59" s="162">
        <v>0.29</v>
      </c>
      <c r="AW59" s="163">
        <v>1668.2</v>
      </c>
      <c r="AX59" s="164">
        <v>52.6</v>
      </c>
      <c r="AY59" s="164">
        <v>36.9</v>
      </c>
      <c r="AZ59" s="164">
        <v>10.6</v>
      </c>
      <c r="BA59" s="164">
        <v>36.5</v>
      </c>
      <c r="BB59" s="164">
        <v>4</v>
      </c>
      <c r="BC59" s="164">
        <v>14.7</v>
      </c>
      <c r="BD59" s="164">
        <v>41.9</v>
      </c>
      <c r="BE59" s="164"/>
      <c r="BF59" s="164">
        <v>3</v>
      </c>
      <c r="BG59" s="165"/>
      <c r="BH59" s="146">
        <v>29841</v>
      </c>
      <c r="BI59" s="179"/>
      <c r="BJ59" s="179"/>
      <c r="BK59" s="146">
        <v>228.3</v>
      </c>
      <c r="BL59" s="179"/>
      <c r="BM59" s="179"/>
      <c r="BN59" s="163">
        <v>2194</v>
      </c>
      <c r="BO59" s="179"/>
      <c r="BP59" s="180">
        <v>2194</v>
      </c>
      <c r="BQ59" s="187">
        <v>2.82</v>
      </c>
      <c r="BR59" s="188"/>
      <c r="BS59" s="188"/>
      <c r="BT59" s="188">
        <v>33.43</v>
      </c>
      <c r="BU59" s="188"/>
      <c r="BV59" s="188"/>
      <c r="BW59" s="188">
        <v>1.87</v>
      </c>
      <c r="BX59" s="188"/>
      <c r="BY59" s="188"/>
      <c r="BZ59" s="188">
        <v>10.17</v>
      </c>
      <c r="CA59" s="188"/>
      <c r="CB59" s="189"/>
      <c r="CC59" s="193">
        <v>7.1</v>
      </c>
      <c r="CD59" s="194">
        <v>3.6</v>
      </c>
      <c r="CE59" s="194">
        <v>5.4</v>
      </c>
      <c r="CF59" s="194">
        <v>5.3</v>
      </c>
      <c r="CG59" s="194">
        <v>0.022</v>
      </c>
      <c r="CH59" s="194">
        <v>0.21</v>
      </c>
      <c r="CI59" s="194" t="s">
        <v>38</v>
      </c>
      <c r="CJ59" s="195" t="s">
        <v>38</v>
      </c>
    </row>
    <row r="60" spans="1:88" ht="16.5" customHeight="1">
      <c r="A60" s="592"/>
      <c r="B60" s="3" t="s">
        <v>21</v>
      </c>
      <c r="C60" s="39">
        <v>6279.78</v>
      </c>
      <c r="D60" s="14">
        <v>31</v>
      </c>
      <c r="E60" s="14">
        <f t="shared" si="50"/>
        <v>1059.4569999999999</v>
      </c>
      <c r="F60" s="14">
        <v>1002.63</v>
      </c>
      <c r="G60" s="14">
        <v>56.827</v>
      </c>
      <c r="H60" s="14">
        <f t="shared" si="53"/>
        <v>255</v>
      </c>
      <c r="I60" s="14">
        <v>255</v>
      </c>
      <c r="J60" s="14"/>
      <c r="K60" s="18"/>
      <c r="L60" s="117">
        <v>6021.44</v>
      </c>
      <c r="M60" s="136">
        <f t="shared" si="51"/>
        <v>5766.94</v>
      </c>
      <c r="N60" s="136">
        <v>254.5</v>
      </c>
      <c r="O60" s="136"/>
      <c r="P60" s="136">
        <v>31</v>
      </c>
      <c r="Q60" s="136">
        <f t="shared" si="41"/>
        <v>194.23999999999998</v>
      </c>
      <c r="R60" s="136">
        <f>(L60/21)/200*100</f>
        <v>143.36761904761903</v>
      </c>
      <c r="S60" s="136">
        <v>971.5</v>
      </c>
      <c r="T60" s="136"/>
      <c r="U60" s="136">
        <v>58029</v>
      </c>
      <c r="V60" s="137"/>
      <c r="W60" s="137"/>
      <c r="X60" s="596">
        <v>3.7</v>
      </c>
      <c r="Y60" s="95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152"/>
      <c r="AL60" s="145">
        <v>12949.54</v>
      </c>
      <c r="AM60" s="146"/>
      <c r="AN60" s="146"/>
      <c r="AO60" s="146">
        <v>6985.28</v>
      </c>
      <c r="AP60" s="146">
        <v>477</v>
      </c>
      <c r="AQ60" s="146">
        <v>477</v>
      </c>
      <c r="AR60" s="146"/>
      <c r="AS60" s="146"/>
      <c r="AT60" s="146">
        <v>433.81</v>
      </c>
      <c r="AU60" s="147">
        <f t="shared" si="52"/>
        <v>5530.450000000001</v>
      </c>
      <c r="AV60" s="162">
        <v>0.294</v>
      </c>
      <c r="AW60" s="163">
        <v>1623.6</v>
      </c>
      <c r="AX60" s="164">
        <v>56</v>
      </c>
      <c r="AY60" s="164">
        <v>35.8</v>
      </c>
      <c r="AZ60" s="164">
        <v>8.2</v>
      </c>
      <c r="BA60" s="164">
        <v>25.6</v>
      </c>
      <c r="BB60" s="164">
        <v>2.4</v>
      </c>
      <c r="BC60" s="164">
        <v>15.9</v>
      </c>
      <c r="BD60" s="164">
        <v>53.8</v>
      </c>
      <c r="BE60" s="164"/>
      <c r="BF60" s="164">
        <v>2.4</v>
      </c>
      <c r="BG60" s="165"/>
      <c r="BH60" s="146">
        <v>31286</v>
      </c>
      <c r="BI60" s="179"/>
      <c r="BJ60" s="179"/>
      <c r="BK60" s="146">
        <v>212.8</v>
      </c>
      <c r="BL60" s="179"/>
      <c r="BM60" s="179"/>
      <c r="BN60" s="163">
        <v>2470</v>
      </c>
      <c r="BO60" s="179"/>
      <c r="BP60" s="180">
        <v>2470</v>
      </c>
      <c r="BQ60" s="187">
        <v>2.29</v>
      </c>
      <c r="BR60" s="188"/>
      <c r="BS60" s="188"/>
      <c r="BT60" s="188">
        <v>45.59</v>
      </c>
      <c r="BU60" s="188"/>
      <c r="BV60" s="188"/>
      <c r="BW60" s="188">
        <v>1.92</v>
      </c>
      <c r="BX60" s="188"/>
      <c r="BY60" s="188"/>
      <c r="BZ60" s="188">
        <v>10.81</v>
      </c>
      <c r="CA60" s="188"/>
      <c r="CB60" s="189"/>
      <c r="CC60" s="193">
        <v>6.9</v>
      </c>
      <c r="CD60" s="194">
        <v>3.7</v>
      </c>
      <c r="CE60" s="194">
        <v>5.2</v>
      </c>
      <c r="CF60" s="194">
        <v>5.9</v>
      </c>
      <c r="CG60" s="194">
        <v>0.027</v>
      </c>
      <c r="CH60" s="194">
        <v>0.125</v>
      </c>
      <c r="CI60" s="194" t="s">
        <v>38</v>
      </c>
      <c r="CJ60" s="195" t="s">
        <v>38</v>
      </c>
    </row>
    <row r="61" spans="1:88" ht="16.5" customHeight="1">
      <c r="A61" s="592"/>
      <c r="B61" s="3" t="s">
        <v>22</v>
      </c>
      <c r="C61" s="39">
        <v>5831.73</v>
      </c>
      <c r="D61" s="14">
        <v>30</v>
      </c>
      <c r="E61" s="14">
        <f t="shared" si="50"/>
        <v>816.681</v>
      </c>
      <c r="F61" s="14">
        <v>761.11</v>
      </c>
      <c r="G61" s="14">
        <v>55.571</v>
      </c>
      <c r="H61" s="14">
        <f t="shared" si="53"/>
        <v>221</v>
      </c>
      <c r="I61" s="14">
        <v>221</v>
      </c>
      <c r="J61" s="14"/>
      <c r="K61" s="18"/>
      <c r="L61" s="117">
        <v>5927.75</v>
      </c>
      <c r="M61" s="136">
        <f t="shared" si="51"/>
        <v>5707.25</v>
      </c>
      <c r="N61" s="136">
        <v>220.5</v>
      </c>
      <c r="O61" s="136"/>
      <c r="P61" s="136">
        <v>30</v>
      </c>
      <c r="Q61" s="136">
        <f t="shared" si="41"/>
        <v>197.59166666666667</v>
      </c>
      <c r="R61" s="136">
        <f>(L61/30)/200*100</f>
        <v>98.79583333333333</v>
      </c>
      <c r="S61" s="136">
        <v>962.9</v>
      </c>
      <c r="T61" s="136"/>
      <c r="U61" s="136">
        <v>50817</v>
      </c>
      <c r="V61" s="137"/>
      <c r="W61" s="137"/>
      <c r="X61" s="596">
        <v>5.1</v>
      </c>
      <c r="Y61" s="95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152"/>
      <c r="AL61" s="145">
        <v>11879.06</v>
      </c>
      <c r="AM61" s="146"/>
      <c r="AN61" s="146"/>
      <c r="AO61" s="146">
        <v>6842.75</v>
      </c>
      <c r="AP61" s="146">
        <v>463</v>
      </c>
      <c r="AQ61" s="146">
        <v>463</v>
      </c>
      <c r="AR61" s="146"/>
      <c r="AS61" s="146"/>
      <c r="AT61" s="146">
        <v>269.53</v>
      </c>
      <c r="AU61" s="147">
        <f t="shared" si="52"/>
        <v>4766.78</v>
      </c>
      <c r="AV61" s="162">
        <v>0.293</v>
      </c>
      <c r="AW61" s="163">
        <v>1572.4</v>
      </c>
      <c r="AX61" s="164">
        <v>54.5</v>
      </c>
      <c r="AY61" s="164">
        <v>36.8</v>
      </c>
      <c r="AZ61" s="164">
        <v>8.7</v>
      </c>
      <c r="BA61" s="164">
        <v>29.5</v>
      </c>
      <c r="BB61" s="164">
        <v>2</v>
      </c>
      <c r="BC61" s="164">
        <v>14.3</v>
      </c>
      <c r="BD61" s="164">
        <v>52.2</v>
      </c>
      <c r="BE61" s="164"/>
      <c r="BF61" s="164">
        <v>2.1</v>
      </c>
      <c r="BG61" s="165"/>
      <c r="BH61" s="146">
        <v>30499</v>
      </c>
      <c r="BI61" s="179"/>
      <c r="BJ61" s="179"/>
      <c r="BK61" s="146">
        <v>208.9</v>
      </c>
      <c r="BL61" s="179"/>
      <c r="BM61" s="179"/>
      <c r="BN61" s="163">
        <v>2470</v>
      </c>
      <c r="BO61" s="179"/>
      <c r="BP61" s="180">
        <v>2470</v>
      </c>
      <c r="BQ61" s="187">
        <v>3.51</v>
      </c>
      <c r="BR61" s="188"/>
      <c r="BS61" s="188"/>
      <c r="BT61" s="188">
        <v>38.37</v>
      </c>
      <c r="BU61" s="188"/>
      <c r="BV61" s="188"/>
      <c r="BW61" s="188">
        <v>1.93</v>
      </c>
      <c r="BX61" s="188"/>
      <c r="BY61" s="188"/>
      <c r="BZ61" s="188">
        <v>10.43</v>
      </c>
      <c r="CA61" s="188"/>
      <c r="CB61" s="189"/>
      <c r="CC61" s="193">
        <v>6.9</v>
      </c>
      <c r="CD61" s="194">
        <v>4.2</v>
      </c>
      <c r="CE61" s="194">
        <v>5.4</v>
      </c>
      <c r="CF61" s="194">
        <v>9.6</v>
      </c>
      <c r="CG61" s="194">
        <v>0.035</v>
      </c>
      <c r="CH61" s="194">
        <v>0.2</v>
      </c>
      <c r="CI61" s="194" t="s">
        <v>38</v>
      </c>
      <c r="CJ61" s="195" t="s">
        <v>38</v>
      </c>
    </row>
    <row r="62" spans="1:88" ht="16.5" customHeight="1">
      <c r="A62" s="592"/>
      <c r="B62" s="3" t="s">
        <v>23</v>
      </c>
      <c r="C62" s="39">
        <v>5671.85</v>
      </c>
      <c r="D62" s="14">
        <v>29</v>
      </c>
      <c r="E62" s="14">
        <f t="shared" si="50"/>
        <v>938.042</v>
      </c>
      <c r="F62" s="14">
        <v>890.64</v>
      </c>
      <c r="G62" s="14">
        <v>47.402</v>
      </c>
      <c r="H62" s="14">
        <f t="shared" si="53"/>
        <v>182</v>
      </c>
      <c r="I62" s="14">
        <v>182</v>
      </c>
      <c r="J62" s="14"/>
      <c r="K62" s="18"/>
      <c r="L62" s="117">
        <v>5889.55</v>
      </c>
      <c r="M62" s="136">
        <f t="shared" si="51"/>
        <v>5708.05</v>
      </c>
      <c r="N62" s="136">
        <v>181.5</v>
      </c>
      <c r="O62" s="136"/>
      <c r="P62" s="136">
        <v>29.5</v>
      </c>
      <c r="Q62" s="136">
        <f t="shared" si="41"/>
        <v>199.64576271186442</v>
      </c>
      <c r="R62" s="136">
        <f>(L62/31)/200*100</f>
        <v>94.99274193548388</v>
      </c>
      <c r="S62" s="136">
        <v>974</v>
      </c>
      <c r="T62" s="136">
        <v>2123</v>
      </c>
      <c r="U62" s="136">
        <v>49694</v>
      </c>
      <c r="V62" s="137"/>
      <c r="W62" s="137"/>
      <c r="X62" s="596">
        <v>6</v>
      </c>
      <c r="Y62" s="95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152"/>
      <c r="AL62" s="145">
        <v>11870.91</v>
      </c>
      <c r="AM62" s="146"/>
      <c r="AN62" s="146"/>
      <c r="AO62" s="146">
        <v>6599.16</v>
      </c>
      <c r="AP62" s="146">
        <v>455</v>
      </c>
      <c r="AQ62" s="146">
        <v>455</v>
      </c>
      <c r="AR62" s="146"/>
      <c r="AS62" s="146"/>
      <c r="AT62" s="146">
        <v>241.95</v>
      </c>
      <c r="AU62" s="147">
        <f t="shared" si="52"/>
        <v>5029.8</v>
      </c>
      <c r="AV62" s="162">
        <v>0.291</v>
      </c>
      <c r="AW62" s="163">
        <v>1515.9</v>
      </c>
      <c r="AX62" s="164">
        <v>54.2</v>
      </c>
      <c r="AY62" s="164">
        <v>37.4</v>
      </c>
      <c r="AZ62" s="164">
        <v>8.4</v>
      </c>
      <c r="BA62" s="164">
        <v>35.6</v>
      </c>
      <c r="BB62" s="164">
        <v>1.1</v>
      </c>
      <c r="BC62" s="164">
        <v>14.1</v>
      </c>
      <c r="BD62" s="164">
        <v>47.6</v>
      </c>
      <c r="BE62" s="164"/>
      <c r="BF62" s="164">
        <v>1.8</v>
      </c>
      <c r="BG62" s="165"/>
      <c r="BH62" s="146">
        <v>29851</v>
      </c>
      <c r="BI62" s="179"/>
      <c r="BJ62" s="179"/>
      <c r="BK62" s="146">
        <v>204.3</v>
      </c>
      <c r="BL62" s="179"/>
      <c r="BM62" s="179"/>
      <c r="BN62" s="163">
        <v>2760</v>
      </c>
      <c r="BO62" s="179"/>
      <c r="BP62" s="180">
        <v>2760</v>
      </c>
      <c r="BQ62" s="187">
        <v>4.26</v>
      </c>
      <c r="BR62" s="188"/>
      <c r="BS62" s="188"/>
      <c r="BT62" s="188">
        <v>35.55</v>
      </c>
      <c r="BU62" s="188"/>
      <c r="BV62" s="188"/>
      <c r="BW62" s="188">
        <v>1.55</v>
      </c>
      <c r="BX62" s="188"/>
      <c r="BY62" s="188"/>
      <c r="BZ62" s="188">
        <v>10.41</v>
      </c>
      <c r="CA62" s="188"/>
      <c r="CB62" s="189"/>
      <c r="CC62" s="193">
        <v>7.3</v>
      </c>
      <c r="CD62" s="194">
        <v>5.3</v>
      </c>
      <c r="CE62" s="194">
        <v>6.4</v>
      </c>
      <c r="CF62" s="194">
        <v>5.8</v>
      </c>
      <c r="CG62" s="194">
        <v>0.031</v>
      </c>
      <c r="CH62" s="194">
        <v>0.115</v>
      </c>
      <c r="CI62" s="194" t="s">
        <v>38</v>
      </c>
      <c r="CJ62" s="195" t="s">
        <v>38</v>
      </c>
    </row>
    <row r="63" spans="1:88" ht="16.5" customHeight="1">
      <c r="A63" s="592"/>
      <c r="B63" s="3" t="s">
        <v>24</v>
      </c>
      <c r="C63" s="39">
        <v>5364.11</v>
      </c>
      <c r="D63" s="14">
        <v>25</v>
      </c>
      <c r="E63" s="14">
        <f t="shared" si="50"/>
        <v>964.4929999999999</v>
      </c>
      <c r="F63" s="14">
        <v>923.51</v>
      </c>
      <c r="G63" s="14">
        <v>40.983</v>
      </c>
      <c r="H63" s="14">
        <f t="shared" si="53"/>
        <v>246</v>
      </c>
      <c r="I63" s="14">
        <v>246</v>
      </c>
      <c r="J63" s="14"/>
      <c r="K63" s="18"/>
      <c r="L63" s="117">
        <v>4982.07</v>
      </c>
      <c r="M63" s="136">
        <f t="shared" si="51"/>
        <v>4736.07</v>
      </c>
      <c r="N63" s="136">
        <v>246</v>
      </c>
      <c r="O63" s="136"/>
      <c r="P63" s="136">
        <v>25</v>
      </c>
      <c r="Q63" s="136">
        <f t="shared" si="41"/>
        <v>199.28279999999998</v>
      </c>
      <c r="R63" s="136">
        <f>(L63/30)/200*100</f>
        <v>83.0345</v>
      </c>
      <c r="S63" s="136">
        <v>926</v>
      </c>
      <c r="T63" s="136">
        <v>1943</v>
      </c>
      <c r="U63" s="136">
        <v>44141</v>
      </c>
      <c r="V63" s="137"/>
      <c r="W63" s="137"/>
      <c r="X63" s="596">
        <v>6.6</v>
      </c>
      <c r="Y63" s="95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152"/>
      <c r="AL63" s="145">
        <v>9765.97</v>
      </c>
      <c r="AM63" s="146"/>
      <c r="AN63" s="146"/>
      <c r="AO63" s="146">
        <v>5546.91</v>
      </c>
      <c r="AP63" s="146">
        <v>371</v>
      </c>
      <c r="AQ63" s="146">
        <v>371</v>
      </c>
      <c r="AR63" s="146"/>
      <c r="AS63" s="146"/>
      <c r="AT63" s="146">
        <v>140.34</v>
      </c>
      <c r="AU63" s="147">
        <f t="shared" si="52"/>
        <v>4078.7199999999993</v>
      </c>
      <c r="AV63" s="162">
        <v>0.294</v>
      </c>
      <c r="AW63" s="163">
        <v>1419.6</v>
      </c>
      <c r="AX63" s="164">
        <v>56</v>
      </c>
      <c r="AY63" s="164">
        <v>36.6</v>
      </c>
      <c r="AZ63" s="164">
        <v>7.5</v>
      </c>
      <c r="BA63" s="164">
        <v>32.8</v>
      </c>
      <c r="BB63" s="164">
        <v>2.1</v>
      </c>
      <c r="BC63" s="164">
        <v>14.9</v>
      </c>
      <c r="BD63" s="164">
        <v>48.9</v>
      </c>
      <c r="BE63" s="164"/>
      <c r="BF63" s="164">
        <v>1.5</v>
      </c>
      <c r="BG63" s="165"/>
      <c r="BH63" s="146">
        <v>31214</v>
      </c>
      <c r="BI63" s="179"/>
      <c r="BJ63" s="179"/>
      <c r="BK63" s="146">
        <v>204.5</v>
      </c>
      <c r="BL63" s="179"/>
      <c r="BM63" s="179"/>
      <c r="BN63" s="163">
        <v>2094</v>
      </c>
      <c r="BO63" s="179"/>
      <c r="BP63" s="180">
        <v>2094</v>
      </c>
      <c r="BQ63" s="187">
        <v>5.07</v>
      </c>
      <c r="BR63" s="188"/>
      <c r="BS63" s="188"/>
      <c r="BT63" s="188">
        <v>34.52</v>
      </c>
      <c r="BU63" s="188"/>
      <c r="BV63" s="188"/>
      <c r="BW63" s="188">
        <v>1.6</v>
      </c>
      <c r="BX63" s="188"/>
      <c r="BY63" s="188"/>
      <c r="BZ63" s="188">
        <v>7.77</v>
      </c>
      <c r="CA63" s="188"/>
      <c r="CB63" s="189"/>
      <c r="CC63" s="193">
        <v>7.3</v>
      </c>
      <c r="CD63" s="194">
        <v>4.4</v>
      </c>
      <c r="CE63" s="194">
        <v>5.7</v>
      </c>
      <c r="CF63" s="194">
        <v>5.6</v>
      </c>
      <c r="CG63" s="194">
        <v>0.03</v>
      </c>
      <c r="CH63" s="194">
        <v>0.11</v>
      </c>
      <c r="CI63" s="194" t="s">
        <v>38</v>
      </c>
      <c r="CJ63" s="195" t="s">
        <v>38</v>
      </c>
    </row>
    <row r="64" spans="1:88" ht="16.5" customHeight="1">
      <c r="A64" s="592"/>
      <c r="B64" s="3" t="s">
        <v>25</v>
      </c>
      <c r="C64" s="39">
        <v>1373.78</v>
      </c>
      <c r="D64" s="14">
        <v>8</v>
      </c>
      <c r="E64" s="14">
        <f t="shared" si="50"/>
        <v>259.63</v>
      </c>
      <c r="F64" s="14">
        <v>245.53</v>
      </c>
      <c r="G64" s="14">
        <v>14.1</v>
      </c>
      <c r="H64" s="14">
        <f t="shared" si="53"/>
        <v>55</v>
      </c>
      <c r="I64" s="14">
        <v>55</v>
      </c>
      <c r="J64" s="14"/>
      <c r="K64" s="18"/>
      <c r="L64" s="117">
        <v>1514.97</v>
      </c>
      <c r="M64" s="136">
        <f t="shared" si="51"/>
        <v>1460.47</v>
      </c>
      <c r="N64" s="136">
        <v>54.5</v>
      </c>
      <c r="O64" s="136"/>
      <c r="P64" s="136">
        <v>8.3</v>
      </c>
      <c r="Q64" s="136">
        <f t="shared" si="41"/>
        <v>182.52650602409636</v>
      </c>
      <c r="R64" s="136">
        <f>(L64/1)/200*100</f>
        <v>757.485</v>
      </c>
      <c r="S64" s="136">
        <v>873.55</v>
      </c>
      <c r="T64" s="136">
        <v>13</v>
      </c>
      <c r="U64" s="136">
        <v>16929</v>
      </c>
      <c r="V64" s="137"/>
      <c r="W64" s="137"/>
      <c r="X64" s="596">
        <v>6.5</v>
      </c>
      <c r="Y64" s="95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152"/>
      <c r="AL64" s="145">
        <v>3127.52</v>
      </c>
      <c r="AM64" s="146"/>
      <c r="AN64" s="146"/>
      <c r="AO64" s="146">
        <v>1801.57</v>
      </c>
      <c r="AP64" s="146">
        <v>120</v>
      </c>
      <c r="AQ64" s="146">
        <v>120</v>
      </c>
      <c r="AR64" s="146"/>
      <c r="AS64" s="146"/>
      <c r="AT64" s="146">
        <v>40.65</v>
      </c>
      <c r="AU64" s="147">
        <f t="shared" si="52"/>
        <v>1285.3</v>
      </c>
      <c r="AV64" s="162">
        <v>0.365</v>
      </c>
      <c r="AW64" s="163">
        <v>1367.5</v>
      </c>
      <c r="AX64" s="164">
        <v>59.7</v>
      </c>
      <c r="AY64" s="164">
        <v>32.8</v>
      </c>
      <c r="AZ64" s="164">
        <v>7.5</v>
      </c>
      <c r="BA64" s="164">
        <v>34.8</v>
      </c>
      <c r="BB64" s="164">
        <v>2</v>
      </c>
      <c r="BC64" s="164">
        <v>14.6</v>
      </c>
      <c r="BD64" s="164">
        <v>47.1</v>
      </c>
      <c r="BE64" s="164"/>
      <c r="BF64" s="164">
        <v>1.5</v>
      </c>
      <c r="BG64" s="165"/>
      <c r="BH64" s="146">
        <v>33647</v>
      </c>
      <c r="BI64" s="179"/>
      <c r="BJ64" s="179"/>
      <c r="BK64" s="146">
        <v>218.6</v>
      </c>
      <c r="BL64" s="179"/>
      <c r="BM64" s="179"/>
      <c r="BN64" s="163">
        <v>972</v>
      </c>
      <c r="BO64" s="179"/>
      <c r="BP64" s="180">
        <v>972</v>
      </c>
      <c r="BQ64" s="187">
        <v>4.97</v>
      </c>
      <c r="BR64" s="188"/>
      <c r="BS64" s="188"/>
      <c r="BT64" s="188">
        <v>34.12</v>
      </c>
      <c r="BU64" s="188"/>
      <c r="BV64" s="188"/>
      <c r="BW64" s="188">
        <v>1.82</v>
      </c>
      <c r="BX64" s="188"/>
      <c r="BY64" s="188"/>
      <c r="BZ64" s="188">
        <v>8.01</v>
      </c>
      <c r="CA64" s="188"/>
      <c r="CB64" s="189"/>
      <c r="CC64" s="193">
        <v>7.1</v>
      </c>
      <c r="CD64" s="194">
        <v>4.8</v>
      </c>
      <c r="CE64" s="194">
        <v>6.8</v>
      </c>
      <c r="CF64" s="194">
        <v>7</v>
      </c>
      <c r="CG64" s="194">
        <v>0.025</v>
      </c>
      <c r="CH64" s="194">
        <v>0.17</v>
      </c>
      <c r="CI64" s="194" t="s">
        <v>38</v>
      </c>
      <c r="CJ64" s="195" t="s">
        <v>38</v>
      </c>
    </row>
    <row r="65" spans="1:88" ht="16.5" customHeight="1">
      <c r="A65" s="592"/>
      <c r="B65" s="3" t="s">
        <v>26</v>
      </c>
      <c r="C65" s="39">
        <v>6234.57</v>
      </c>
      <c r="D65" s="14">
        <v>31</v>
      </c>
      <c r="E65" s="14">
        <f t="shared" si="50"/>
        <v>835.336</v>
      </c>
      <c r="F65" s="14">
        <v>784.82</v>
      </c>
      <c r="G65" s="14">
        <v>50.516</v>
      </c>
      <c r="H65" s="14">
        <f t="shared" si="53"/>
        <v>299</v>
      </c>
      <c r="I65" s="14">
        <v>299</v>
      </c>
      <c r="J65" s="14"/>
      <c r="K65" s="18"/>
      <c r="L65" s="117">
        <v>6063.9</v>
      </c>
      <c r="M65" s="136">
        <f t="shared" si="51"/>
        <v>5765.4</v>
      </c>
      <c r="N65" s="136">
        <v>298.5</v>
      </c>
      <c r="O65" s="136"/>
      <c r="P65" s="136">
        <v>29.8</v>
      </c>
      <c r="Q65" s="136">
        <f t="shared" si="41"/>
        <v>203.48657718120805</v>
      </c>
      <c r="R65" s="136">
        <f>(L65/31)/200*100</f>
        <v>97.80483870967741</v>
      </c>
      <c r="S65" s="136">
        <v>957.3</v>
      </c>
      <c r="T65" s="136">
        <v>1943</v>
      </c>
      <c r="U65" s="136">
        <v>44780</v>
      </c>
      <c r="V65" s="137"/>
      <c r="W65" s="137"/>
      <c r="X65" s="596">
        <v>6.5</v>
      </c>
      <c r="Y65" s="95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152"/>
      <c r="AL65" s="145">
        <v>11466.02</v>
      </c>
      <c r="AM65" s="146"/>
      <c r="AN65" s="146"/>
      <c r="AO65" s="146">
        <v>6617.89</v>
      </c>
      <c r="AP65" s="146">
        <v>440</v>
      </c>
      <c r="AQ65" s="146">
        <v>440</v>
      </c>
      <c r="AR65" s="146"/>
      <c r="AS65" s="146"/>
      <c r="AT65" s="146">
        <v>157.14</v>
      </c>
      <c r="AU65" s="147">
        <f t="shared" si="52"/>
        <v>4690.99</v>
      </c>
      <c r="AV65" s="162">
        <v>0.325</v>
      </c>
      <c r="AW65" s="163">
        <v>1509.2</v>
      </c>
      <c r="AX65" s="164">
        <v>57.1</v>
      </c>
      <c r="AY65" s="164">
        <v>35.2</v>
      </c>
      <c r="AZ65" s="164">
        <v>7.8</v>
      </c>
      <c r="BA65" s="164">
        <v>37.6</v>
      </c>
      <c r="BB65" s="164">
        <v>2.2</v>
      </c>
      <c r="BC65" s="164">
        <v>13</v>
      </c>
      <c r="BD65" s="164">
        <v>45.8</v>
      </c>
      <c r="BE65" s="164"/>
      <c r="BF65" s="164">
        <v>1.6</v>
      </c>
      <c r="BG65" s="165"/>
      <c r="BH65" s="146">
        <v>36568</v>
      </c>
      <c r="BI65" s="179"/>
      <c r="BJ65" s="179"/>
      <c r="BK65" s="146">
        <v>199.6</v>
      </c>
      <c r="BL65" s="179"/>
      <c r="BM65" s="179"/>
      <c r="BN65" s="163">
        <v>2544</v>
      </c>
      <c r="BO65" s="179"/>
      <c r="BP65" s="180">
        <v>2544</v>
      </c>
      <c r="BQ65" s="187">
        <v>5.4</v>
      </c>
      <c r="BR65" s="188"/>
      <c r="BS65" s="188"/>
      <c r="BT65" s="188">
        <v>24</v>
      </c>
      <c r="BU65" s="188"/>
      <c r="BV65" s="188"/>
      <c r="BW65" s="188">
        <v>1.95</v>
      </c>
      <c r="BX65" s="188"/>
      <c r="BY65" s="188"/>
      <c r="BZ65" s="188">
        <v>9.57</v>
      </c>
      <c r="CA65" s="188"/>
      <c r="CB65" s="189"/>
      <c r="CC65" s="193">
        <v>7.2</v>
      </c>
      <c r="CD65" s="194">
        <v>3.6</v>
      </c>
      <c r="CE65" s="194">
        <v>6.4</v>
      </c>
      <c r="CF65" s="194">
        <v>6</v>
      </c>
      <c r="CG65" s="194">
        <v>0.035</v>
      </c>
      <c r="CH65" s="194">
        <v>0.08</v>
      </c>
      <c r="CI65" s="194" t="s">
        <v>38</v>
      </c>
      <c r="CJ65" s="195" t="s">
        <v>38</v>
      </c>
    </row>
    <row r="66" spans="1:88" ht="16.5" customHeight="1">
      <c r="A66" s="592"/>
      <c r="B66" s="3" t="s">
        <v>27</v>
      </c>
      <c r="C66" s="39">
        <v>5387.42</v>
      </c>
      <c r="D66" s="14">
        <v>30</v>
      </c>
      <c r="E66" s="14">
        <f t="shared" si="50"/>
        <v>775.14</v>
      </c>
      <c r="F66" s="14">
        <v>728.37</v>
      </c>
      <c r="G66" s="14">
        <v>46.77</v>
      </c>
      <c r="H66" s="14">
        <f t="shared" si="53"/>
        <v>423</v>
      </c>
      <c r="I66" s="14">
        <v>423</v>
      </c>
      <c r="J66" s="14"/>
      <c r="K66" s="18"/>
      <c r="L66" s="117">
        <v>5578.37</v>
      </c>
      <c r="M66" s="136">
        <f t="shared" si="51"/>
        <v>5155.37</v>
      </c>
      <c r="N66" s="136">
        <v>423</v>
      </c>
      <c r="O66" s="136"/>
      <c r="P66" s="136">
        <v>28.4</v>
      </c>
      <c r="Q66" s="136">
        <f t="shared" si="41"/>
        <v>196.42147887323944</v>
      </c>
      <c r="R66" s="136">
        <f>(L66/30)/200*100</f>
        <v>92.97283333333333</v>
      </c>
      <c r="S66" s="136">
        <v>955.19</v>
      </c>
      <c r="T66" s="136">
        <v>1470</v>
      </c>
      <c r="U66" s="136">
        <v>28888</v>
      </c>
      <c r="V66" s="137"/>
      <c r="W66" s="137"/>
      <c r="X66" s="596">
        <v>3.9</v>
      </c>
      <c r="Y66" s="95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152"/>
      <c r="AL66" s="145">
        <v>11052.35</v>
      </c>
      <c r="AM66" s="146"/>
      <c r="AN66" s="146"/>
      <c r="AO66" s="146">
        <v>6396.27</v>
      </c>
      <c r="AP66" s="146">
        <v>427</v>
      </c>
      <c r="AQ66" s="146">
        <v>427</v>
      </c>
      <c r="AR66" s="146"/>
      <c r="AS66" s="146"/>
      <c r="AT66" s="146">
        <v>150.42</v>
      </c>
      <c r="AU66" s="147">
        <f t="shared" si="52"/>
        <v>4505.66</v>
      </c>
      <c r="AV66" s="162">
        <v>0.35</v>
      </c>
      <c r="AW66" s="163">
        <v>1499.4</v>
      </c>
      <c r="AX66" s="164">
        <v>57.6</v>
      </c>
      <c r="AY66" s="164">
        <v>34.2</v>
      </c>
      <c r="AZ66" s="164">
        <v>8.3</v>
      </c>
      <c r="BA66" s="164">
        <v>33.5</v>
      </c>
      <c r="BB66" s="164">
        <v>0.7</v>
      </c>
      <c r="BC66" s="164">
        <v>17.2</v>
      </c>
      <c r="BD66" s="164">
        <v>46.8</v>
      </c>
      <c r="BE66" s="164"/>
      <c r="BF66" s="164">
        <v>2</v>
      </c>
      <c r="BG66" s="165"/>
      <c r="BH66" s="146">
        <v>31840</v>
      </c>
      <c r="BI66" s="179"/>
      <c r="BJ66" s="179"/>
      <c r="BK66" s="146">
        <v>167.85</v>
      </c>
      <c r="BL66" s="179"/>
      <c r="BM66" s="179"/>
      <c r="BN66" s="163">
        <v>2333</v>
      </c>
      <c r="BO66" s="179"/>
      <c r="BP66" s="180">
        <v>2333</v>
      </c>
      <c r="BQ66" s="187">
        <v>4.88</v>
      </c>
      <c r="BR66" s="188"/>
      <c r="BS66" s="188"/>
      <c r="BT66" s="188">
        <v>28.29</v>
      </c>
      <c r="BU66" s="188"/>
      <c r="BV66" s="188"/>
      <c r="BW66" s="188">
        <v>1.99</v>
      </c>
      <c r="BX66" s="188"/>
      <c r="BY66" s="188"/>
      <c r="BZ66" s="188">
        <v>8.42</v>
      </c>
      <c r="CA66" s="188"/>
      <c r="CB66" s="189"/>
      <c r="CC66" s="193">
        <v>7.6</v>
      </c>
      <c r="CD66" s="194">
        <v>4.4</v>
      </c>
      <c r="CE66" s="194">
        <v>4.8</v>
      </c>
      <c r="CF66" s="194">
        <v>7.3</v>
      </c>
      <c r="CG66" s="194">
        <v>0.036</v>
      </c>
      <c r="CH66" s="194">
        <v>0.14</v>
      </c>
      <c r="CI66" s="194" t="s">
        <v>38</v>
      </c>
      <c r="CJ66" s="195" t="s">
        <v>38</v>
      </c>
    </row>
    <row r="67" spans="1:88" ht="16.5" customHeight="1">
      <c r="A67" s="592"/>
      <c r="B67" s="3" t="s">
        <v>28</v>
      </c>
      <c r="C67" s="39">
        <v>4000.2</v>
      </c>
      <c r="D67" s="14">
        <v>26</v>
      </c>
      <c r="E67" s="14">
        <f t="shared" si="50"/>
        <v>738.302</v>
      </c>
      <c r="F67" s="14">
        <v>693.87</v>
      </c>
      <c r="G67" s="14">
        <v>44.432</v>
      </c>
      <c r="H67" s="14">
        <f t="shared" si="53"/>
        <v>198</v>
      </c>
      <c r="I67" s="14">
        <v>198</v>
      </c>
      <c r="J67" s="14"/>
      <c r="K67" s="18"/>
      <c r="L67" s="117">
        <v>4244.08</v>
      </c>
      <c r="M67" s="136">
        <f t="shared" si="51"/>
        <v>4046.08</v>
      </c>
      <c r="N67" s="136">
        <v>198</v>
      </c>
      <c r="O67" s="136"/>
      <c r="P67" s="136">
        <v>23.4</v>
      </c>
      <c r="Q67" s="136">
        <f t="shared" si="41"/>
        <v>181.37094017094017</v>
      </c>
      <c r="R67" s="136">
        <f>(L67/31)/200*100</f>
        <v>68.45290322580645</v>
      </c>
      <c r="S67" s="136">
        <v>989.15</v>
      </c>
      <c r="T67" s="136">
        <v>3366</v>
      </c>
      <c r="U67" s="136">
        <v>37607</v>
      </c>
      <c r="V67" s="137"/>
      <c r="W67" s="137"/>
      <c r="X67" s="596">
        <v>3.7</v>
      </c>
      <c r="Y67" s="95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152"/>
      <c r="AL67" s="145">
        <v>9022.58</v>
      </c>
      <c r="AM67" s="146"/>
      <c r="AN67" s="146"/>
      <c r="AO67" s="146">
        <v>5013.3</v>
      </c>
      <c r="AP67" s="146">
        <v>342</v>
      </c>
      <c r="AQ67" s="146">
        <v>342</v>
      </c>
      <c r="AR67" s="146"/>
      <c r="AS67" s="146"/>
      <c r="AT67" s="146">
        <v>235.24</v>
      </c>
      <c r="AU67" s="147">
        <f t="shared" si="52"/>
        <v>3774.04</v>
      </c>
      <c r="AV67" s="162">
        <v>0.353</v>
      </c>
      <c r="AW67" s="163">
        <v>1413.7</v>
      </c>
      <c r="AX67" s="164">
        <v>59.3</v>
      </c>
      <c r="AY67" s="164">
        <v>30.8</v>
      </c>
      <c r="AZ67" s="164">
        <v>10</v>
      </c>
      <c r="BA67" s="164">
        <v>24.4</v>
      </c>
      <c r="BB67" s="164">
        <v>1.5</v>
      </c>
      <c r="BC67" s="164">
        <v>14.4</v>
      </c>
      <c r="BD67" s="164">
        <v>57.4</v>
      </c>
      <c r="BE67" s="164"/>
      <c r="BF67" s="164">
        <v>2.4</v>
      </c>
      <c r="BG67" s="165"/>
      <c r="BH67" s="146">
        <v>29465</v>
      </c>
      <c r="BI67" s="179"/>
      <c r="BJ67" s="179"/>
      <c r="BK67" s="146">
        <v>196.99</v>
      </c>
      <c r="BL67" s="179"/>
      <c r="BM67" s="179"/>
      <c r="BN67" s="163">
        <v>2123</v>
      </c>
      <c r="BO67" s="179"/>
      <c r="BP67" s="180">
        <v>2123</v>
      </c>
      <c r="BQ67" s="187">
        <v>3.44</v>
      </c>
      <c r="BR67" s="188"/>
      <c r="BS67" s="188"/>
      <c r="BT67" s="188">
        <v>32.52</v>
      </c>
      <c r="BU67" s="188"/>
      <c r="BV67" s="188"/>
      <c r="BW67" s="188">
        <v>1.42</v>
      </c>
      <c r="BX67" s="188"/>
      <c r="BY67" s="188"/>
      <c r="BZ67" s="188">
        <v>8.45</v>
      </c>
      <c r="CA67" s="188"/>
      <c r="CB67" s="189"/>
      <c r="CC67" s="193">
        <v>7.2</v>
      </c>
      <c r="CD67" s="194">
        <v>4.5</v>
      </c>
      <c r="CE67" s="194">
        <v>5.6</v>
      </c>
      <c r="CF67" s="194">
        <v>6.3</v>
      </c>
      <c r="CG67" s="194">
        <v>0.014</v>
      </c>
      <c r="CH67" s="194">
        <v>0.185</v>
      </c>
      <c r="CI67" s="194" t="s">
        <v>38</v>
      </c>
      <c r="CJ67" s="195" t="s">
        <v>38</v>
      </c>
    </row>
    <row r="68" spans="1:88" ht="16.5" customHeight="1">
      <c r="A68" s="592"/>
      <c r="B68" s="3" t="s">
        <v>29</v>
      </c>
      <c r="C68" s="39">
        <v>5788.08</v>
      </c>
      <c r="D68" s="14">
        <v>30</v>
      </c>
      <c r="E68" s="14">
        <f t="shared" si="50"/>
        <v>883.163</v>
      </c>
      <c r="F68" s="14">
        <v>830.09</v>
      </c>
      <c r="G68" s="14">
        <v>53.073</v>
      </c>
      <c r="H68" s="14">
        <f t="shared" si="53"/>
        <v>86</v>
      </c>
      <c r="I68" s="14">
        <v>86</v>
      </c>
      <c r="J68" s="14"/>
      <c r="K68" s="18"/>
      <c r="L68" s="117">
        <v>5819.66</v>
      </c>
      <c r="M68" s="136">
        <f t="shared" si="51"/>
        <v>5733.66</v>
      </c>
      <c r="N68" s="136">
        <v>86</v>
      </c>
      <c r="O68" s="136"/>
      <c r="P68" s="136">
        <v>30</v>
      </c>
      <c r="Q68" s="136">
        <f t="shared" si="41"/>
        <v>193.98866666666666</v>
      </c>
      <c r="R68" s="136">
        <f>(L68/20)/200*100</f>
        <v>145.4915</v>
      </c>
      <c r="S68" s="136">
        <v>880.73</v>
      </c>
      <c r="T68" s="136">
        <v>125</v>
      </c>
      <c r="U68" s="136">
        <v>53042</v>
      </c>
      <c r="V68" s="137"/>
      <c r="W68" s="137"/>
      <c r="X68" s="596">
        <v>4.2</v>
      </c>
      <c r="Y68" s="95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152"/>
      <c r="AL68" s="145">
        <v>12049.49</v>
      </c>
      <c r="AM68" s="146"/>
      <c r="AN68" s="146"/>
      <c r="AO68" s="146">
        <v>6687.01</v>
      </c>
      <c r="AP68" s="146">
        <v>444</v>
      </c>
      <c r="AQ68" s="146">
        <v>444</v>
      </c>
      <c r="AR68" s="146"/>
      <c r="AS68" s="146"/>
      <c r="AT68" s="146">
        <v>374.83</v>
      </c>
      <c r="AU68" s="147">
        <f t="shared" si="52"/>
        <v>4987.65</v>
      </c>
      <c r="AV68" s="162">
        <v>0.35</v>
      </c>
      <c r="AW68" s="163">
        <v>1492.6</v>
      </c>
      <c r="AX68" s="164">
        <v>58.2</v>
      </c>
      <c r="AY68" s="164">
        <v>32.2</v>
      </c>
      <c r="AZ68" s="164">
        <v>9.7</v>
      </c>
      <c r="BA68" s="164">
        <v>24.2</v>
      </c>
      <c r="BB68" s="164">
        <v>1.2</v>
      </c>
      <c r="BC68" s="164">
        <v>14.6</v>
      </c>
      <c r="BD68" s="164">
        <v>57.2</v>
      </c>
      <c r="BE68" s="164"/>
      <c r="BF68" s="164">
        <v>3</v>
      </c>
      <c r="BG68" s="165"/>
      <c r="BH68" s="146">
        <v>27353</v>
      </c>
      <c r="BI68" s="179"/>
      <c r="BJ68" s="179"/>
      <c r="BK68" s="146">
        <v>202.5</v>
      </c>
      <c r="BL68" s="179"/>
      <c r="BM68" s="179"/>
      <c r="BN68" s="163">
        <v>2269</v>
      </c>
      <c r="BO68" s="179"/>
      <c r="BP68" s="180">
        <v>2269</v>
      </c>
      <c r="BQ68" s="187">
        <v>3.28</v>
      </c>
      <c r="BR68" s="188"/>
      <c r="BS68" s="188"/>
      <c r="BT68" s="188">
        <v>35.61</v>
      </c>
      <c r="BU68" s="188"/>
      <c r="BV68" s="188"/>
      <c r="BW68" s="188">
        <v>1.06</v>
      </c>
      <c r="BX68" s="188"/>
      <c r="BY68" s="188"/>
      <c r="BZ68" s="188">
        <v>9.26</v>
      </c>
      <c r="CA68" s="188"/>
      <c r="CB68" s="189"/>
      <c r="CC68" s="193">
        <v>7.1</v>
      </c>
      <c r="CD68" s="194">
        <v>4.6</v>
      </c>
      <c r="CE68" s="194">
        <v>5.3</v>
      </c>
      <c r="CF68" s="194">
        <v>7.2</v>
      </c>
      <c r="CG68" s="194">
        <v>0.019</v>
      </c>
      <c r="CH68" s="194">
        <v>0.215</v>
      </c>
      <c r="CI68" s="194" t="s">
        <v>38</v>
      </c>
      <c r="CJ68" s="195" t="s">
        <v>38</v>
      </c>
    </row>
    <row r="69" spans="1:88" ht="16.5" customHeight="1">
      <c r="A69" s="592"/>
      <c r="B69" s="3" t="s">
        <v>30</v>
      </c>
      <c r="C69" s="39">
        <v>6419.57</v>
      </c>
      <c r="D69" s="14">
        <v>31</v>
      </c>
      <c r="E69" s="14">
        <f t="shared" si="50"/>
        <v>924.6999999999999</v>
      </c>
      <c r="F69" s="14">
        <v>868.41</v>
      </c>
      <c r="G69" s="14">
        <v>56.29</v>
      </c>
      <c r="H69" s="14">
        <f t="shared" si="53"/>
        <v>83</v>
      </c>
      <c r="I69" s="50">
        <v>83</v>
      </c>
      <c r="J69" s="14"/>
      <c r="K69" s="18"/>
      <c r="L69" s="117">
        <v>6259.76</v>
      </c>
      <c r="M69" s="136">
        <f t="shared" si="51"/>
        <v>6176.76</v>
      </c>
      <c r="N69" s="136">
        <v>83</v>
      </c>
      <c r="O69" s="136"/>
      <c r="P69" s="136">
        <v>31</v>
      </c>
      <c r="Q69" s="136">
        <f t="shared" si="41"/>
        <v>201.92774193548388</v>
      </c>
      <c r="R69" s="136">
        <f>(L69/31)/200*100</f>
        <v>100.96387096774193</v>
      </c>
      <c r="S69" s="136">
        <v>850.22</v>
      </c>
      <c r="T69" s="136"/>
      <c r="U69" s="136">
        <v>71063</v>
      </c>
      <c r="V69" s="137"/>
      <c r="W69" s="137"/>
      <c r="X69" s="596">
        <v>5.7</v>
      </c>
      <c r="Y69" s="95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152"/>
      <c r="AL69" s="145">
        <v>12722.05</v>
      </c>
      <c r="AM69" s="146"/>
      <c r="AN69" s="146"/>
      <c r="AO69" s="146">
        <v>6935.46</v>
      </c>
      <c r="AP69" s="146">
        <v>460</v>
      </c>
      <c r="AQ69" s="146">
        <v>460</v>
      </c>
      <c r="AR69" s="146"/>
      <c r="AS69" s="146"/>
      <c r="AT69" s="146">
        <v>481.34</v>
      </c>
      <c r="AU69" s="147">
        <f t="shared" si="52"/>
        <v>5305.249999999999</v>
      </c>
      <c r="AV69" s="162">
        <v>0.35</v>
      </c>
      <c r="AW69" s="163">
        <v>1420.6</v>
      </c>
      <c r="AX69" s="164">
        <v>59.1</v>
      </c>
      <c r="AY69" s="164">
        <v>31.1</v>
      </c>
      <c r="AZ69" s="164">
        <v>9.8</v>
      </c>
      <c r="BA69" s="164">
        <v>24.6</v>
      </c>
      <c r="BB69" s="164">
        <v>2.4</v>
      </c>
      <c r="BC69" s="164">
        <v>13.4</v>
      </c>
      <c r="BD69" s="164">
        <v>56.8</v>
      </c>
      <c r="BE69" s="164"/>
      <c r="BF69" s="164">
        <v>2.9</v>
      </c>
      <c r="BG69" s="165"/>
      <c r="BH69" s="146">
        <v>26952</v>
      </c>
      <c r="BI69" s="179"/>
      <c r="BJ69" s="179"/>
      <c r="BK69" s="146">
        <v>214.24</v>
      </c>
      <c r="BL69" s="179"/>
      <c r="BM69" s="179"/>
      <c r="BN69" s="163">
        <v>2462</v>
      </c>
      <c r="BO69" s="179"/>
      <c r="BP69" s="180">
        <v>2462</v>
      </c>
      <c r="BQ69" s="187">
        <v>3.46</v>
      </c>
      <c r="BR69" s="188"/>
      <c r="BS69" s="188"/>
      <c r="BT69" s="188">
        <v>34.21</v>
      </c>
      <c r="BU69" s="188"/>
      <c r="BV69" s="188"/>
      <c r="BW69" s="188">
        <v>1.07</v>
      </c>
      <c r="BX69" s="188"/>
      <c r="BY69" s="188"/>
      <c r="BZ69" s="188">
        <v>7.78</v>
      </c>
      <c r="CA69" s="188"/>
      <c r="CB69" s="189"/>
      <c r="CC69" s="193">
        <v>7</v>
      </c>
      <c r="CD69" s="194">
        <v>4.6</v>
      </c>
      <c r="CE69" s="194">
        <v>5</v>
      </c>
      <c r="CF69" s="194">
        <v>7</v>
      </c>
      <c r="CG69" s="194">
        <v>0.036</v>
      </c>
      <c r="CH69" s="194">
        <v>0.135</v>
      </c>
      <c r="CI69" s="194" t="s">
        <v>38</v>
      </c>
      <c r="CJ69" s="195" t="s">
        <v>38</v>
      </c>
    </row>
    <row r="70" spans="1:88" ht="16.5" customHeight="1">
      <c r="A70" s="478" t="s">
        <v>55</v>
      </c>
      <c r="B70" s="10" t="s">
        <v>48</v>
      </c>
      <c r="C70" s="11">
        <f aca="true" t="shared" si="54" ref="C70:H70">SUM(C71:C82)</f>
        <v>149313</v>
      </c>
      <c r="D70" s="12">
        <f t="shared" si="54"/>
        <v>325</v>
      </c>
      <c r="E70" s="272">
        <f t="shared" si="54"/>
        <v>29786</v>
      </c>
      <c r="F70" s="12">
        <f t="shared" si="54"/>
        <v>25101</v>
      </c>
      <c r="G70" s="12">
        <f t="shared" si="54"/>
        <v>4685</v>
      </c>
      <c r="H70" s="12">
        <f t="shared" si="54"/>
        <v>4277</v>
      </c>
      <c r="I70" s="12">
        <f aca="true" t="shared" si="55" ref="I70:N70">SUM(I71:I82)</f>
        <v>4131</v>
      </c>
      <c r="J70" s="12">
        <f t="shared" si="55"/>
        <v>146</v>
      </c>
      <c r="K70" s="16">
        <f t="shared" si="55"/>
        <v>0</v>
      </c>
      <c r="L70" s="138">
        <f t="shared" si="55"/>
        <v>28710</v>
      </c>
      <c r="M70" s="98">
        <f t="shared" si="55"/>
        <v>28340</v>
      </c>
      <c r="N70" s="98">
        <f t="shared" si="55"/>
        <v>370</v>
      </c>
      <c r="O70" s="98"/>
      <c r="P70" s="98">
        <f>SUM(P71:P82)</f>
        <v>149.3</v>
      </c>
      <c r="Q70" s="98">
        <f t="shared" si="41"/>
        <v>192.29738780977897</v>
      </c>
      <c r="R70" s="98">
        <f>P70/366*100</f>
        <v>40.79234972677596</v>
      </c>
      <c r="S70" s="98">
        <f>SUM(S71:S82)/6</f>
        <v>877.5</v>
      </c>
      <c r="T70" s="98"/>
      <c r="U70" s="98">
        <f>SUM(U71:U82)</f>
        <v>247740</v>
      </c>
      <c r="V70" s="98">
        <f>SUM(V71:V82)</f>
        <v>3442</v>
      </c>
      <c r="W70" s="98"/>
      <c r="X70" s="597">
        <f>SUM(X71:X82)</f>
        <v>1.4</v>
      </c>
      <c r="Y70" s="138">
        <f>SUM(Y71:Y82)</f>
        <v>118905</v>
      </c>
      <c r="Z70" s="98">
        <f>SUM(Z71:Z82)</f>
        <v>115144</v>
      </c>
      <c r="AA70" s="98">
        <f>SUM(AA71:AA82)</f>
        <v>3761</v>
      </c>
      <c r="AB70" s="98"/>
      <c r="AC70" s="98">
        <f>SUM(AC71:AC82)</f>
        <v>311.1</v>
      </c>
      <c r="AD70" s="98">
        <f>SUM(AD71:AD82)/11</f>
        <v>382.2505104988911</v>
      </c>
      <c r="AE70" s="98">
        <f>AC70/366*100</f>
        <v>85.00000000000001</v>
      </c>
      <c r="AF70" s="98">
        <f>SUM(AF71:AF82)/11</f>
        <v>918.8181818181819</v>
      </c>
      <c r="AG70" s="98">
        <f>SUM(AG71:AG82)</f>
        <v>0</v>
      </c>
      <c r="AH70" s="98">
        <f>SUM(AH71:AH82)</f>
        <v>986571</v>
      </c>
      <c r="AI70" s="98">
        <f>SUM(AI71:AI82)</f>
        <v>47566</v>
      </c>
      <c r="AJ70" s="98">
        <f>SUM(AJ71:AJ82)</f>
        <v>0</v>
      </c>
      <c r="AK70" s="215">
        <f>SUM(AK71:AK82)/11</f>
        <v>1.9</v>
      </c>
      <c r="AL70" s="138">
        <f aca="true" t="shared" si="56" ref="AL70:AQ70">SUM(AL71:AL82)</f>
        <v>264498.51</v>
      </c>
      <c r="AM70" s="98">
        <f t="shared" si="56"/>
        <v>135878</v>
      </c>
      <c r="AN70" s="98">
        <f t="shared" si="56"/>
        <v>1191986</v>
      </c>
      <c r="AO70" s="98">
        <f t="shared" si="56"/>
        <v>16393.846</v>
      </c>
      <c r="AP70" s="98">
        <f t="shared" si="56"/>
        <v>1461</v>
      </c>
      <c r="AQ70" s="98">
        <f t="shared" si="56"/>
        <v>1461</v>
      </c>
      <c r="AR70" s="98"/>
      <c r="AS70" s="98"/>
      <c r="AT70" s="98"/>
      <c r="AU70" s="148">
        <f>SUM(AU71:AU82)</f>
        <v>112226</v>
      </c>
      <c r="AV70" s="166">
        <f aca="true" t="shared" si="57" ref="AV70:BF70">SUM(AV71:AV82)/11</f>
        <v>0.3310909090909091</v>
      </c>
      <c r="AW70" s="12">
        <f t="shared" si="57"/>
        <v>1654.5454545454545</v>
      </c>
      <c r="AX70" s="167">
        <f t="shared" si="57"/>
        <v>52.16454545454545</v>
      </c>
      <c r="AY70" s="167">
        <f t="shared" si="57"/>
        <v>36.976363636363644</v>
      </c>
      <c r="AZ70" s="167">
        <f t="shared" si="57"/>
        <v>10.86</v>
      </c>
      <c r="BA70" s="167">
        <f t="shared" si="57"/>
        <v>12.477272727272727</v>
      </c>
      <c r="BB70" s="167">
        <f t="shared" si="57"/>
        <v>2.8181818181818183</v>
      </c>
      <c r="BC70" s="167">
        <f t="shared" si="57"/>
        <v>20.806363636363635</v>
      </c>
      <c r="BD70" s="167">
        <f t="shared" si="57"/>
        <v>47.52272727272727</v>
      </c>
      <c r="BE70" s="167">
        <f t="shared" si="57"/>
        <v>10.843636363636362</v>
      </c>
      <c r="BF70" s="167">
        <f t="shared" si="57"/>
        <v>5.531818181818182</v>
      </c>
      <c r="BG70" s="118"/>
      <c r="BH70" s="11">
        <v>33956.5</v>
      </c>
      <c r="BI70" s="272">
        <v>50911.72727272727</v>
      </c>
      <c r="BJ70" s="272">
        <v>51249.454545454544</v>
      </c>
      <c r="BK70" s="272">
        <v>204.83333333333334</v>
      </c>
      <c r="BL70" s="272">
        <v>200.1818181818182</v>
      </c>
      <c r="BM70" s="272">
        <v>199.36363636363637</v>
      </c>
      <c r="BN70" s="12">
        <f>SUM(BN71:BN82)</f>
        <v>1883</v>
      </c>
      <c r="BO70" s="12"/>
      <c r="BP70" s="16">
        <v>1883</v>
      </c>
      <c r="BQ70" s="41">
        <f>SUM(BQ71:BQ82)/4</f>
        <v>13.225000000000001</v>
      </c>
      <c r="BR70" s="34">
        <f>SUM(BR71:BR82)/11</f>
        <v>15.145454545454545</v>
      </c>
      <c r="BS70" s="34">
        <f>SUM(BS71:BS82)/11</f>
        <v>22.064545454545453</v>
      </c>
      <c r="BT70" s="34">
        <f>SUM(BT71:BT82)/4</f>
        <v>23.995</v>
      </c>
      <c r="BU70" s="34">
        <f>SUM(BU71:BU82)/11</f>
        <v>25.470000000000002</v>
      </c>
      <c r="BV70" s="34">
        <f>SUM(BV71:BV82)/11</f>
        <v>23.178181818181816</v>
      </c>
      <c r="BW70" s="34">
        <f>SUM(BW71:BW82)/4</f>
        <v>11.355</v>
      </c>
      <c r="BX70" s="34">
        <f>SUM(BX71:BX82)/11</f>
        <v>15.402727272727274</v>
      </c>
      <c r="BY70" s="34">
        <f>SUM(BY71:BY82)/11</f>
        <v>17.771818181818183</v>
      </c>
      <c r="BZ70" s="34">
        <f>SUM(BZ71:BZ82)/4</f>
        <v>2.775</v>
      </c>
      <c r="CA70" s="34">
        <f aca="true" t="shared" si="58" ref="CA70:CF70">SUM(CA71:CA82)/11</f>
        <v>10.57181818181818</v>
      </c>
      <c r="CB70" s="72">
        <f t="shared" si="58"/>
        <v>12.356363636363636</v>
      </c>
      <c r="CC70" s="41">
        <f t="shared" si="58"/>
        <v>7.336363636363638</v>
      </c>
      <c r="CD70" s="34">
        <f t="shared" si="58"/>
        <v>10.545454545454545</v>
      </c>
      <c r="CE70" s="34">
        <f t="shared" si="58"/>
        <v>10.636363636363637</v>
      </c>
      <c r="CF70" s="34">
        <f t="shared" si="58"/>
        <v>4.636363636363637</v>
      </c>
      <c r="CG70" s="34">
        <f>SUM(CG71:CG82)/10</f>
        <v>0.0033</v>
      </c>
      <c r="CH70" s="34">
        <f>SUM(CH71:CH82)/10</f>
        <v>0.061999999999999986</v>
      </c>
      <c r="CI70" s="34">
        <f>SUM(CI71:CI82)/10</f>
        <v>0.0002</v>
      </c>
      <c r="CJ70" s="72">
        <f>SUM(CJ71:CJ82)/9</f>
        <v>0.04477777777777778</v>
      </c>
    </row>
    <row r="71" spans="1:88" ht="16.5" customHeight="1">
      <c r="A71" s="592"/>
      <c r="B71" s="3" t="s">
        <v>19</v>
      </c>
      <c r="C71" s="39">
        <v>11011</v>
      </c>
      <c r="D71" s="14">
        <v>31</v>
      </c>
      <c r="E71" s="440">
        <f>+F71+G71</f>
        <v>2556</v>
      </c>
      <c r="F71" s="14">
        <v>2142</v>
      </c>
      <c r="G71" s="440">
        <v>414</v>
      </c>
      <c r="H71" s="14">
        <v>405</v>
      </c>
      <c r="I71" s="14">
        <v>369</v>
      </c>
      <c r="J71" s="14">
        <v>36</v>
      </c>
      <c r="K71" s="18">
        <v>0</v>
      </c>
      <c r="L71" s="95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598"/>
      <c r="Y71" s="95">
        <v>11621</v>
      </c>
      <c r="Z71" s="32">
        <f aca="true" t="shared" si="59" ref="Z71:Z76">Y71-AA71</f>
        <v>11252</v>
      </c>
      <c r="AA71" s="32">
        <v>369</v>
      </c>
      <c r="AB71" s="32"/>
      <c r="AC71" s="32">
        <v>31</v>
      </c>
      <c r="AD71" s="32">
        <f aca="true" t="shared" si="60" ref="AD71:AD76">Y71/AC71</f>
        <v>374.8709677419355</v>
      </c>
      <c r="AE71" s="32">
        <f>AC71/31*100</f>
        <v>100</v>
      </c>
      <c r="AF71" s="32">
        <v>899</v>
      </c>
      <c r="AG71" s="32"/>
      <c r="AH71" s="32">
        <v>109870</v>
      </c>
      <c r="AI71" s="32"/>
      <c r="AJ71" s="32"/>
      <c r="AK71" s="96">
        <v>3.5</v>
      </c>
      <c r="AL71" s="149">
        <v>20029.95</v>
      </c>
      <c r="AM71" s="150">
        <v>12814</v>
      </c>
      <c r="AN71" s="150">
        <v>115275</v>
      </c>
      <c r="AO71" s="150"/>
      <c r="AP71" s="150"/>
      <c r="AQ71" s="150"/>
      <c r="AR71" s="150"/>
      <c r="AS71" s="150"/>
      <c r="AT71" s="150"/>
      <c r="AU71" s="151">
        <v>7216</v>
      </c>
      <c r="AV71" s="168">
        <v>0.349</v>
      </c>
      <c r="AW71" s="13">
        <v>1501</v>
      </c>
      <c r="AX71" s="116">
        <v>54.82</v>
      </c>
      <c r="AY71" s="116">
        <v>33.69</v>
      </c>
      <c r="AZ71" s="116">
        <v>11.49</v>
      </c>
      <c r="BA71" s="169">
        <v>11</v>
      </c>
      <c r="BB71" s="116">
        <v>3.12</v>
      </c>
      <c r="BC71" s="116">
        <v>18.5</v>
      </c>
      <c r="BD71" s="116">
        <v>51.86</v>
      </c>
      <c r="BE71" s="116">
        <v>10.76</v>
      </c>
      <c r="BF71" s="116">
        <v>4.76</v>
      </c>
      <c r="BG71" s="119"/>
      <c r="BH71" s="38"/>
      <c r="BI71" s="13">
        <v>53998</v>
      </c>
      <c r="BJ71" s="13">
        <v>57829</v>
      </c>
      <c r="BK71" s="13"/>
      <c r="BL71" s="13">
        <v>204</v>
      </c>
      <c r="BM71" s="13">
        <v>204</v>
      </c>
      <c r="BN71" s="13">
        <v>378</v>
      </c>
      <c r="BO71" s="13"/>
      <c r="BP71" s="17">
        <v>378</v>
      </c>
      <c r="BQ71" s="26"/>
      <c r="BR71" s="27">
        <v>12.87</v>
      </c>
      <c r="BS71" s="27">
        <v>13.78</v>
      </c>
      <c r="BT71" s="27"/>
      <c r="BU71" s="27">
        <v>28.77</v>
      </c>
      <c r="BV71" s="27">
        <v>38.9</v>
      </c>
      <c r="BW71" s="27"/>
      <c r="BX71" s="27">
        <v>18.14</v>
      </c>
      <c r="BY71" s="27">
        <v>21.89</v>
      </c>
      <c r="BZ71" s="27"/>
      <c r="CA71" s="27">
        <v>6.62</v>
      </c>
      <c r="CB71" s="44">
        <v>5.95</v>
      </c>
      <c r="CC71" s="26">
        <v>7.2</v>
      </c>
      <c r="CD71" s="27">
        <v>32</v>
      </c>
      <c r="CE71" s="27">
        <v>40</v>
      </c>
      <c r="CF71" s="27">
        <v>11</v>
      </c>
      <c r="CG71" s="27">
        <v>0</v>
      </c>
      <c r="CH71" s="27">
        <v>0.06</v>
      </c>
      <c r="CI71" s="27">
        <v>0</v>
      </c>
      <c r="CJ71" s="44">
        <v>0.294</v>
      </c>
    </row>
    <row r="72" spans="1:88" ht="16.5" customHeight="1">
      <c r="A72" s="592"/>
      <c r="B72" s="3" t="s">
        <v>20</v>
      </c>
      <c r="C72" s="39">
        <v>12263</v>
      </c>
      <c r="D72" s="14">
        <v>29</v>
      </c>
      <c r="E72" s="440">
        <f aca="true" t="shared" si="61" ref="E72:E82">+F72+G72</f>
        <v>2549</v>
      </c>
      <c r="F72" s="14">
        <v>2115</v>
      </c>
      <c r="G72" s="440">
        <v>434</v>
      </c>
      <c r="H72" s="14">
        <v>303</v>
      </c>
      <c r="I72" s="14">
        <v>303</v>
      </c>
      <c r="J72" s="14"/>
      <c r="K72" s="18"/>
      <c r="L72" s="95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598"/>
      <c r="Y72" s="95">
        <v>11031</v>
      </c>
      <c r="Z72" s="32">
        <f t="shared" si="59"/>
        <v>10728</v>
      </c>
      <c r="AA72" s="32">
        <v>303</v>
      </c>
      <c r="AB72" s="32"/>
      <c r="AC72" s="32">
        <v>29</v>
      </c>
      <c r="AD72" s="32">
        <f t="shared" si="60"/>
        <v>380.37931034482756</v>
      </c>
      <c r="AE72" s="32">
        <f>AC72/29*100</f>
        <v>100</v>
      </c>
      <c r="AF72" s="32">
        <v>909</v>
      </c>
      <c r="AG72" s="32"/>
      <c r="AH72" s="32">
        <v>103361</v>
      </c>
      <c r="AI72" s="32"/>
      <c r="AJ72" s="32"/>
      <c r="AK72" s="96">
        <v>3.9</v>
      </c>
      <c r="AL72" s="95">
        <v>19044.93</v>
      </c>
      <c r="AM72" s="32">
        <v>11707</v>
      </c>
      <c r="AN72" s="32">
        <v>105316</v>
      </c>
      <c r="AO72" s="32">
        <v>358.97400000000005</v>
      </c>
      <c r="AP72" s="32">
        <v>33</v>
      </c>
      <c r="AQ72" s="32">
        <v>33</v>
      </c>
      <c r="AR72" s="32"/>
      <c r="AS72" s="32"/>
      <c r="AT72" s="32"/>
      <c r="AU72" s="152">
        <v>6979</v>
      </c>
      <c r="AV72" s="170">
        <v>0.322</v>
      </c>
      <c r="AW72" s="14">
        <v>1581</v>
      </c>
      <c r="AX72" s="171">
        <v>53.9</v>
      </c>
      <c r="AY72" s="104">
        <v>35.93</v>
      </c>
      <c r="AZ72" s="104">
        <v>10.17</v>
      </c>
      <c r="BA72" s="104">
        <v>12.97</v>
      </c>
      <c r="BB72" s="104">
        <v>2.59</v>
      </c>
      <c r="BC72" s="104">
        <v>20.84</v>
      </c>
      <c r="BD72" s="104">
        <v>47.79</v>
      </c>
      <c r="BE72" s="104">
        <v>10.5</v>
      </c>
      <c r="BF72" s="104">
        <v>5.31</v>
      </c>
      <c r="BG72" s="110"/>
      <c r="BH72" s="39"/>
      <c r="BI72" s="14">
        <v>53895</v>
      </c>
      <c r="BJ72" s="14">
        <v>58573</v>
      </c>
      <c r="BK72" s="14"/>
      <c r="BL72" s="14">
        <v>207</v>
      </c>
      <c r="BM72" s="14">
        <v>209</v>
      </c>
      <c r="BN72" s="14">
        <v>310</v>
      </c>
      <c r="BO72" s="14"/>
      <c r="BP72" s="18">
        <v>310</v>
      </c>
      <c r="BQ72" s="28"/>
      <c r="BR72" s="29">
        <v>11.61</v>
      </c>
      <c r="BS72" s="29">
        <v>24.9</v>
      </c>
      <c r="BT72" s="29"/>
      <c r="BU72" s="29">
        <v>30.29</v>
      </c>
      <c r="BV72" s="29">
        <v>37.2</v>
      </c>
      <c r="BW72" s="29"/>
      <c r="BX72" s="29">
        <v>18.53</v>
      </c>
      <c r="BY72" s="29">
        <v>22.7</v>
      </c>
      <c r="BZ72" s="29"/>
      <c r="CA72" s="29">
        <v>11.52</v>
      </c>
      <c r="CB72" s="30">
        <v>17.38</v>
      </c>
      <c r="CC72" s="28">
        <v>6.7</v>
      </c>
      <c r="CD72" s="29">
        <v>9</v>
      </c>
      <c r="CE72" s="29">
        <v>12</v>
      </c>
      <c r="CF72" s="29">
        <v>4</v>
      </c>
      <c r="CG72" s="29">
        <v>0</v>
      </c>
      <c r="CH72" s="29">
        <v>0.03</v>
      </c>
      <c r="CI72" s="29">
        <v>0</v>
      </c>
      <c r="CJ72" s="30">
        <v>0.042</v>
      </c>
    </row>
    <row r="73" spans="1:88" ht="16.5" customHeight="1">
      <c r="A73" s="592"/>
      <c r="B73" s="3" t="s">
        <v>21</v>
      </c>
      <c r="C73" s="39">
        <v>8329</v>
      </c>
      <c r="D73" s="14">
        <v>20</v>
      </c>
      <c r="E73" s="440">
        <f t="shared" si="61"/>
        <v>1911</v>
      </c>
      <c r="F73" s="14">
        <v>1584</v>
      </c>
      <c r="G73" s="440">
        <v>327</v>
      </c>
      <c r="H73" s="14">
        <v>205</v>
      </c>
      <c r="I73" s="14">
        <v>205</v>
      </c>
      <c r="J73" s="14"/>
      <c r="K73" s="18"/>
      <c r="L73" s="95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598"/>
      <c r="Y73" s="95">
        <v>8903</v>
      </c>
      <c r="Z73" s="32">
        <f t="shared" si="59"/>
        <v>8698</v>
      </c>
      <c r="AA73" s="32">
        <v>205</v>
      </c>
      <c r="AB73" s="32"/>
      <c r="AC73" s="32">
        <v>23.2</v>
      </c>
      <c r="AD73" s="32">
        <f t="shared" si="60"/>
        <v>383.75</v>
      </c>
      <c r="AE73" s="32">
        <f>AC73/31*100</f>
        <v>74.83870967741936</v>
      </c>
      <c r="AF73" s="32">
        <v>911</v>
      </c>
      <c r="AG73" s="32"/>
      <c r="AH73" s="32">
        <v>82611</v>
      </c>
      <c r="AI73" s="32">
        <v>10650</v>
      </c>
      <c r="AJ73" s="32"/>
      <c r="AK73" s="96">
        <v>2.5</v>
      </c>
      <c r="AL73" s="95">
        <v>14677.97</v>
      </c>
      <c r="AM73" s="32">
        <v>4160</v>
      </c>
      <c r="AN73" s="32">
        <v>37423</v>
      </c>
      <c r="AO73" s="32">
        <v>3025.6380000000004</v>
      </c>
      <c r="AP73" s="32">
        <v>279</v>
      </c>
      <c r="AQ73" s="32">
        <v>279</v>
      </c>
      <c r="AR73" s="32"/>
      <c r="AS73" s="32"/>
      <c r="AT73" s="32"/>
      <c r="AU73" s="152">
        <v>7492</v>
      </c>
      <c r="AV73" s="170">
        <v>0.315</v>
      </c>
      <c r="AW73" s="14">
        <v>1608</v>
      </c>
      <c r="AX73" s="104">
        <v>53.11</v>
      </c>
      <c r="AY73" s="104">
        <v>36.25</v>
      </c>
      <c r="AZ73" s="104">
        <v>10.64</v>
      </c>
      <c r="BA73" s="104">
        <v>13.37</v>
      </c>
      <c r="BB73" s="104">
        <v>3.31</v>
      </c>
      <c r="BC73" s="104">
        <v>18.55</v>
      </c>
      <c r="BD73" s="104">
        <v>47.95</v>
      </c>
      <c r="BE73" s="104">
        <v>11.26</v>
      </c>
      <c r="BF73" s="104">
        <v>5.56</v>
      </c>
      <c r="BG73" s="110"/>
      <c r="BH73" s="39"/>
      <c r="BI73" s="14">
        <v>53622</v>
      </c>
      <c r="BJ73" s="14">
        <v>53621</v>
      </c>
      <c r="BK73" s="14"/>
      <c r="BL73" s="14">
        <v>205</v>
      </c>
      <c r="BM73" s="14">
        <v>211</v>
      </c>
      <c r="BN73" s="14">
        <v>232</v>
      </c>
      <c r="BO73" s="14"/>
      <c r="BP73" s="18">
        <v>232</v>
      </c>
      <c r="BQ73" s="28"/>
      <c r="BR73" s="29">
        <v>15.14</v>
      </c>
      <c r="BS73" s="29">
        <v>31.95</v>
      </c>
      <c r="BT73" s="29"/>
      <c r="BU73" s="29">
        <v>29.96</v>
      </c>
      <c r="BV73" s="29">
        <v>29.87</v>
      </c>
      <c r="BW73" s="29"/>
      <c r="BX73" s="29">
        <v>20.5</v>
      </c>
      <c r="BY73" s="29">
        <v>23.37</v>
      </c>
      <c r="BZ73" s="29"/>
      <c r="CA73" s="29">
        <v>10.18</v>
      </c>
      <c r="CB73" s="30">
        <v>20.23</v>
      </c>
      <c r="CC73" s="28">
        <v>6.7</v>
      </c>
      <c r="CD73" s="29">
        <v>5</v>
      </c>
      <c r="CE73" s="29">
        <v>6</v>
      </c>
      <c r="CF73" s="29">
        <v>4</v>
      </c>
      <c r="CG73" s="29">
        <v>0</v>
      </c>
      <c r="CH73" s="29">
        <v>0.045</v>
      </c>
      <c r="CI73" s="29">
        <v>0</v>
      </c>
      <c r="CJ73" s="30">
        <v>0.001</v>
      </c>
    </row>
    <row r="74" spans="1:88" ht="16.5" customHeight="1">
      <c r="A74" s="592"/>
      <c r="B74" s="3" t="s">
        <v>22</v>
      </c>
      <c r="C74" s="39">
        <v>10389</v>
      </c>
      <c r="D74" s="14">
        <v>30</v>
      </c>
      <c r="E74" s="440">
        <f t="shared" si="61"/>
        <v>2542</v>
      </c>
      <c r="F74" s="14">
        <v>2062</v>
      </c>
      <c r="G74" s="440">
        <v>480</v>
      </c>
      <c r="H74" s="14">
        <v>499</v>
      </c>
      <c r="I74" s="14">
        <v>499</v>
      </c>
      <c r="J74" s="14"/>
      <c r="K74" s="18"/>
      <c r="L74" s="95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598"/>
      <c r="Y74" s="95">
        <v>11838</v>
      </c>
      <c r="Z74" s="32">
        <f t="shared" si="59"/>
        <v>11339</v>
      </c>
      <c r="AA74" s="32">
        <v>499</v>
      </c>
      <c r="AB74" s="32"/>
      <c r="AC74" s="32">
        <v>30</v>
      </c>
      <c r="AD74" s="32">
        <f t="shared" si="60"/>
        <v>394.6</v>
      </c>
      <c r="AE74" s="32">
        <f>AC74/30*100</f>
        <v>100</v>
      </c>
      <c r="AF74" s="32">
        <v>953</v>
      </c>
      <c r="AG74" s="32"/>
      <c r="AH74" s="32">
        <v>101101</v>
      </c>
      <c r="AI74" s="32"/>
      <c r="AJ74" s="32"/>
      <c r="AK74" s="96">
        <v>1.2</v>
      </c>
      <c r="AL74" s="95">
        <v>21742.23</v>
      </c>
      <c r="AM74" s="32">
        <v>13971</v>
      </c>
      <c r="AN74" s="32">
        <v>125683</v>
      </c>
      <c r="AO74" s="32"/>
      <c r="AP74" s="32"/>
      <c r="AQ74" s="32"/>
      <c r="AR74" s="32"/>
      <c r="AS74" s="32"/>
      <c r="AT74" s="32"/>
      <c r="AU74" s="152">
        <v>7771</v>
      </c>
      <c r="AV74" s="170">
        <v>0.325</v>
      </c>
      <c r="AW74" s="14">
        <v>1590</v>
      </c>
      <c r="AX74" s="104">
        <v>53.33</v>
      </c>
      <c r="AY74" s="104">
        <v>36.05</v>
      </c>
      <c r="AZ74" s="104">
        <v>10.62</v>
      </c>
      <c r="BA74" s="104">
        <v>13.98</v>
      </c>
      <c r="BB74" s="104">
        <v>2.83</v>
      </c>
      <c r="BC74" s="104">
        <v>19.61</v>
      </c>
      <c r="BD74" s="104">
        <v>46.79</v>
      </c>
      <c r="BE74" s="104">
        <v>11.02</v>
      </c>
      <c r="BF74" s="104">
        <v>5.77</v>
      </c>
      <c r="BG74" s="110"/>
      <c r="BH74" s="39"/>
      <c r="BI74" s="14">
        <v>53765</v>
      </c>
      <c r="BJ74" s="14">
        <v>48193</v>
      </c>
      <c r="BK74" s="14"/>
      <c r="BL74" s="14">
        <v>205</v>
      </c>
      <c r="BM74" s="14">
        <v>207</v>
      </c>
      <c r="BN74" s="14">
        <v>139</v>
      </c>
      <c r="BO74" s="14"/>
      <c r="BP74" s="18">
        <v>139</v>
      </c>
      <c r="BQ74" s="28"/>
      <c r="BR74" s="29">
        <v>13.68</v>
      </c>
      <c r="BS74" s="29">
        <v>34.95</v>
      </c>
      <c r="BT74" s="29"/>
      <c r="BU74" s="29">
        <v>36.57</v>
      </c>
      <c r="BV74" s="29">
        <v>24.27</v>
      </c>
      <c r="BW74" s="29"/>
      <c r="BX74" s="29">
        <v>18.11</v>
      </c>
      <c r="BY74" s="29">
        <v>20.79</v>
      </c>
      <c r="BZ74" s="29"/>
      <c r="CA74" s="29">
        <v>7</v>
      </c>
      <c r="CB74" s="30">
        <v>14.28</v>
      </c>
      <c r="CC74" s="28">
        <v>7.3</v>
      </c>
      <c r="CD74" s="29">
        <v>10</v>
      </c>
      <c r="CE74" s="29">
        <v>9</v>
      </c>
      <c r="CF74" s="29">
        <v>4</v>
      </c>
      <c r="CG74" s="29">
        <v>0.004</v>
      </c>
      <c r="CH74" s="29">
        <v>0.105</v>
      </c>
      <c r="CI74" s="29">
        <v>0</v>
      </c>
      <c r="CJ74" s="30">
        <v>0.002</v>
      </c>
    </row>
    <row r="75" spans="1:88" ht="16.5" customHeight="1">
      <c r="A75" s="592"/>
      <c r="B75" s="3" t="s">
        <v>23</v>
      </c>
      <c r="C75" s="39">
        <v>11614</v>
      </c>
      <c r="D75" s="14">
        <v>31</v>
      </c>
      <c r="E75" s="440">
        <f t="shared" si="61"/>
        <v>2310</v>
      </c>
      <c r="F75" s="14">
        <v>1919</v>
      </c>
      <c r="G75" s="440">
        <v>391</v>
      </c>
      <c r="H75" s="14">
        <v>272</v>
      </c>
      <c r="I75" s="14">
        <v>272</v>
      </c>
      <c r="J75" s="14"/>
      <c r="K75" s="18"/>
      <c r="L75" s="95"/>
      <c r="M75" s="32"/>
      <c r="N75" s="32"/>
      <c r="O75" s="32"/>
      <c r="P75" s="32"/>
      <c r="Q75" s="32"/>
      <c r="R75" s="32"/>
      <c r="S75" s="32"/>
      <c r="T75" s="32"/>
      <c r="U75" s="32">
        <v>429</v>
      </c>
      <c r="V75" s="32"/>
      <c r="W75" s="32"/>
      <c r="X75" s="598"/>
      <c r="Y75" s="95">
        <v>10612</v>
      </c>
      <c r="Z75" s="32">
        <f t="shared" si="59"/>
        <v>10340</v>
      </c>
      <c r="AA75" s="32">
        <v>272</v>
      </c>
      <c r="AB75" s="32"/>
      <c r="AC75" s="32">
        <v>27.5</v>
      </c>
      <c r="AD75" s="32">
        <f t="shared" si="60"/>
        <v>385.8909090909091</v>
      </c>
      <c r="AE75" s="32">
        <f>AC75/31*100</f>
        <v>88.70967741935483</v>
      </c>
      <c r="AF75" s="32">
        <v>973.5</v>
      </c>
      <c r="AG75" s="32"/>
      <c r="AH75" s="32">
        <v>78436</v>
      </c>
      <c r="AI75" s="32">
        <v>8125</v>
      </c>
      <c r="AJ75" s="32"/>
      <c r="AK75" s="96">
        <v>1.3</v>
      </c>
      <c r="AL75" s="95">
        <v>20168.47</v>
      </c>
      <c r="AM75" s="32">
        <v>11863</v>
      </c>
      <c r="AN75" s="32">
        <v>106720</v>
      </c>
      <c r="AO75" s="32">
        <v>1619.046</v>
      </c>
      <c r="AP75" s="32">
        <v>141</v>
      </c>
      <c r="AQ75" s="32">
        <v>141</v>
      </c>
      <c r="AR75" s="32"/>
      <c r="AS75" s="32"/>
      <c r="AT75" s="32"/>
      <c r="AU75" s="152">
        <v>6686</v>
      </c>
      <c r="AV75" s="170">
        <v>0.327</v>
      </c>
      <c r="AW75" s="14">
        <v>1587</v>
      </c>
      <c r="AX75" s="104">
        <v>53.51</v>
      </c>
      <c r="AY75" s="104">
        <v>35.98</v>
      </c>
      <c r="AZ75" s="104">
        <v>10.51</v>
      </c>
      <c r="BA75" s="104">
        <v>12.23</v>
      </c>
      <c r="BB75" s="104">
        <v>2.42</v>
      </c>
      <c r="BC75" s="104">
        <v>21.02</v>
      </c>
      <c r="BD75" s="104">
        <v>47.9</v>
      </c>
      <c r="BE75" s="104">
        <v>10.83</v>
      </c>
      <c r="BF75" s="104">
        <v>5.6</v>
      </c>
      <c r="BG75" s="110"/>
      <c r="BH75" s="39"/>
      <c r="BI75" s="14">
        <v>48808</v>
      </c>
      <c r="BJ75" s="14">
        <v>54778</v>
      </c>
      <c r="BK75" s="14"/>
      <c r="BL75" s="14">
        <v>203</v>
      </c>
      <c r="BM75" s="14">
        <v>196</v>
      </c>
      <c r="BN75" s="14">
        <v>130</v>
      </c>
      <c r="BO75" s="14"/>
      <c r="BP75" s="18">
        <v>130</v>
      </c>
      <c r="BQ75" s="28"/>
      <c r="BR75" s="29">
        <v>15.23</v>
      </c>
      <c r="BS75" s="29">
        <v>14.19</v>
      </c>
      <c r="BT75" s="29"/>
      <c r="BU75" s="29">
        <v>28.36</v>
      </c>
      <c r="BV75" s="29">
        <v>29.64</v>
      </c>
      <c r="BW75" s="29"/>
      <c r="BX75" s="29">
        <v>15.34</v>
      </c>
      <c r="BY75" s="29">
        <v>19.46</v>
      </c>
      <c r="BZ75" s="29"/>
      <c r="CA75" s="29">
        <v>3.93</v>
      </c>
      <c r="CB75" s="30">
        <v>9.18</v>
      </c>
      <c r="CC75" s="28">
        <v>7.8</v>
      </c>
      <c r="CD75" s="29">
        <v>6</v>
      </c>
      <c r="CE75" s="29">
        <v>6</v>
      </c>
      <c r="CF75" s="29">
        <v>6</v>
      </c>
      <c r="CG75" s="29">
        <v>0.003</v>
      </c>
      <c r="CH75" s="29">
        <v>0.04</v>
      </c>
      <c r="CI75" s="29">
        <v>0</v>
      </c>
      <c r="CJ75" s="30">
        <v>0.001</v>
      </c>
    </row>
    <row r="76" spans="1:88" ht="16.5" customHeight="1">
      <c r="A76" s="592"/>
      <c r="B76" s="3" t="s">
        <v>24</v>
      </c>
      <c r="C76" s="39">
        <v>14241</v>
      </c>
      <c r="D76" s="14">
        <v>25</v>
      </c>
      <c r="E76" s="440">
        <f t="shared" si="61"/>
        <v>2579</v>
      </c>
      <c r="F76" s="14">
        <v>2221</v>
      </c>
      <c r="G76" s="440">
        <v>358</v>
      </c>
      <c r="H76" s="14">
        <v>306</v>
      </c>
      <c r="I76" s="14">
        <v>200</v>
      </c>
      <c r="J76" s="14">
        <v>106</v>
      </c>
      <c r="K76" s="18"/>
      <c r="L76" s="95">
        <v>4568</v>
      </c>
      <c r="M76" s="32">
        <f>L76-N76</f>
        <v>4550</v>
      </c>
      <c r="N76" s="32">
        <v>18</v>
      </c>
      <c r="O76" s="32"/>
      <c r="P76" s="32">
        <v>25</v>
      </c>
      <c r="Q76" s="32">
        <f>L76/P76</f>
        <v>182.72</v>
      </c>
      <c r="R76" s="32">
        <f>P76/30*100</f>
        <v>83.33333333333334</v>
      </c>
      <c r="S76" s="32">
        <v>868</v>
      </c>
      <c r="T76" s="32"/>
      <c r="U76" s="32">
        <v>44083</v>
      </c>
      <c r="V76" s="32"/>
      <c r="W76" s="32"/>
      <c r="X76" s="598"/>
      <c r="Y76" s="95">
        <v>9321</v>
      </c>
      <c r="Z76" s="32">
        <f t="shared" si="59"/>
        <v>9139</v>
      </c>
      <c r="AA76" s="32">
        <v>182</v>
      </c>
      <c r="AB76" s="32"/>
      <c r="AC76" s="32">
        <v>28.4</v>
      </c>
      <c r="AD76" s="32">
        <f t="shared" si="60"/>
        <v>328.2042253521127</v>
      </c>
      <c r="AE76" s="32">
        <f>AC76/30*100</f>
        <v>94.66666666666667</v>
      </c>
      <c r="AF76" s="32">
        <v>901</v>
      </c>
      <c r="AG76" s="32"/>
      <c r="AH76" s="32">
        <v>81286</v>
      </c>
      <c r="AI76" s="32">
        <v>4163</v>
      </c>
      <c r="AJ76" s="32"/>
      <c r="AK76" s="96">
        <v>1.6</v>
      </c>
      <c r="AL76" s="95">
        <v>26602.03</v>
      </c>
      <c r="AM76" s="32">
        <v>9732</v>
      </c>
      <c r="AN76" s="32">
        <v>87549</v>
      </c>
      <c r="AO76" s="32">
        <v>6103.89</v>
      </c>
      <c r="AP76" s="32">
        <v>484</v>
      </c>
      <c r="AQ76" s="32">
        <v>484</v>
      </c>
      <c r="AR76" s="32"/>
      <c r="AS76" s="32"/>
      <c r="AT76" s="32"/>
      <c r="AU76" s="152">
        <v>10766</v>
      </c>
      <c r="AV76" s="170">
        <v>0.332</v>
      </c>
      <c r="AW76" s="14">
        <v>1572</v>
      </c>
      <c r="AX76" s="104">
        <v>54.27</v>
      </c>
      <c r="AY76" s="104">
        <v>35.33</v>
      </c>
      <c r="AZ76" s="104">
        <v>10.4</v>
      </c>
      <c r="BA76" s="104">
        <v>12.31</v>
      </c>
      <c r="BB76" s="104">
        <v>2.64</v>
      </c>
      <c r="BC76" s="104">
        <v>21.48</v>
      </c>
      <c r="BD76" s="104">
        <v>47.49</v>
      </c>
      <c r="BE76" s="104">
        <v>10.55</v>
      </c>
      <c r="BF76" s="104">
        <v>5.53</v>
      </c>
      <c r="BG76" s="110"/>
      <c r="BH76" s="39">
        <v>32097</v>
      </c>
      <c r="BI76" s="14">
        <v>50557</v>
      </c>
      <c r="BJ76" s="14">
        <v>49358</v>
      </c>
      <c r="BK76" s="14">
        <v>201</v>
      </c>
      <c r="BL76" s="14">
        <v>201</v>
      </c>
      <c r="BM76" s="14">
        <v>196</v>
      </c>
      <c r="BN76" s="14">
        <v>170</v>
      </c>
      <c r="BO76" s="14"/>
      <c r="BP76" s="18">
        <v>170</v>
      </c>
      <c r="BQ76" s="28"/>
      <c r="BR76" s="29">
        <v>12.8</v>
      </c>
      <c r="BS76" s="29">
        <v>15.11</v>
      </c>
      <c r="BT76" s="29"/>
      <c r="BU76" s="29">
        <v>19.58</v>
      </c>
      <c r="BV76" s="29">
        <v>26.39</v>
      </c>
      <c r="BW76" s="29"/>
      <c r="BX76" s="29">
        <v>13.68</v>
      </c>
      <c r="BY76" s="29">
        <v>18.3</v>
      </c>
      <c r="BZ76" s="29"/>
      <c r="CA76" s="29">
        <v>7.79</v>
      </c>
      <c r="CB76" s="30">
        <v>8.89</v>
      </c>
      <c r="CC76" s="28">
        <v>7.7</v>
      </c>
      <c r="CD76" s="29">
        <v>5</v>
      </c>
      <c r="CE76" s="29">
        <v>6</v>
      </c>
      <c r="CF76" s="29">
        <v>3</v>
      </c>
      <c r="CG76" s="29">
        <v>0.004</v>
      </c>
      <c r="CH76" s="29">
        <v>0.04</v>
      </c>
      <c r="CI76" s="29">
        <v>0</v>
      </c>
      <c r="CJ76" s="30">
        <v>0.002</v>
      </c>
    </row>
    <row r="77" spans="1:88" ht="16.5" customHeight="1">
      <c r="A77" s="592"/>
      <c r="B77" s="3" t="s">
        <v>25</v>
      </c>
      <c r="C77" s="39">
        <v>3080</v>
      </c>
      <c r="D77" s="14">
        <v>13</v>
      </c>
      <c r="E77" s="440">
        <f t="shared" si="61"/>
        <v>883</v>
      </c>
      <c r="F77" s="14">
        <v>811</v>
      </c>
      <c r="G77" s="440">
        <v>72</v>
      </c>
      <c r="H77" s="14">
        <v>100</v>
      </c>
      <c r="I77" s="14">
        <v>96</v>
      </c>
      <c r="J77" s="14">
        <v>4</v>
      </c>
      <c r="K77" s="18"/>
      <c r="L77" s="95">
        <v>3536</v>
      </c>
      <c r="M77" s="32">
        <f>L77-N77</f>
        <v>3440</v>
      </c>
      <c r="N77" s="32">
        <v>96</v>
      </c>
      <c r="O77" s="32"/>
      <c r="P77" s="32">
        <v>18</v>
      </c>
      <c r="Q77" s="32">
        <f>L77/P77</f>
        <v>196.44444444444446</v>
      </c>
      <c r="R77" s="32">
        <f>P77/31*100</f>
        <v>58.06451612903226</v>
      </c>
      <c r="S77" s="32">
        <v>866</v>
      </c>
      <c r="T77" s="32"/>
      <c r="U77" s="32">
        <v>33648</v>
      </c>
      <c r="V77" s="32"/>
      <c r="W77" s="32"/>
      <c r="X77" s="598"/>
      <c r="Y77" s="95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96"/>
      <c r="AL77" s="95">
        <v>6799.86</v>
      </c>
      <c r="AM77" s="32">
        <v>1901</v>
      </c>
      <c r="AN77" s="32">
        <v>16295</v>
      </c>
      <c r="AO77" s="32"/>
      <c r="AP77" s="32"/>
      <c r="AQ77" s="32"/>
      <c r="AR77" s="32"/>
      <c r="AS77" s="32"/>
      <c r="AT77" s="32"/>
      <c r="AU77" s="152">
        <v>4899</v>
      </c>
      <c r="AV77" s="170"/>
      <c r="AW77" s="14"/>
      <c r="AX77" s="104"/>
      <c r="AY77" s="104"/>
      <c r="AZ77" s="104"/>
      <c r="BA77" s="104"/>
      <c r="BB77" s="104"/>
      <c r="BC77" s="104"/>
      <c r="BD77" s="104"/>
      <c r="BE77" s="104"/>
      <c r="BF77" s="104"/>
      <c r="BG77" s="110"/>
      <c r="BH77" s="39">
        <v>36742</v>
      </c>
      <c r="BI77" s="14"/>
      <c r="BJ77" s="14"/>
      <c r="BK77" s="14">
        <v>201</v>
      </c>
      <c r="BL77" s="14"/>
      <c r="BM77" s="14"/>
      <c r="BN77" s="14"/>
      <c r="BO77" s="14"/>
      <c r="BP77" s="18"/>
      <c r="BQ77" s="28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30"/>
      <c r="CC77" s="28"/>
      <c r="CD77" s="29"/>
      <c r="CE77" s="29"/>
      <c r="CF77" s="29"/>
      <c r="CG77" s="29"/>
      <c r="CH77" s="29"/>
      <c r="CI77" s="29"/>
      <c r="CJ77" s="30"/>
    </row>
    <row r="78" spans="1:88" ht="16.5" customHeight="1">
      <c r="A78" s="592"/>
      <c r="B78" s="3" t="s">
        <v>26</v>
      </c>
      <c r="C78" s="39">
        <v>11903</v>
      </c>
      <c r="D78" s="14">
        <v>30</v>
      </c>
      <c r="E78" s="440">
        <f t="shared" si="61"/>
        <v>2046</v>
      </c>
      <c r="F78" s="14">
        <v>1725</v>
      </c>
      <c r="G78" s="440">
        <v>321</v>
      </c>
      <c r="H78" s="14">
        <v>596</v>
      </c>
      <c r="I78" s="14">
        <v>596</v>
      </c>
      <c r="J78" s="14"/>
      <c r="K78" s="18"/>
      <c r="L78" s="95"/>
      <c r="M78" s="32"/>
      <c r="N78" s="32"/>
      <c r="O78" s="32"/>
      <c r="P78" s="32"/>
      <c r="Q78" s="32"/>
      <c r="R78" s="32"/>
      <c r="S78" s="32"/>
      <c r="T78" s="32"/>
      <c r="U78" s="32">
        <v>1829</v>
      </c>
      <c r="V78" s="32"/>
      <c r="W78" s="32"/>
      <c r="X78" s="598"/>
      <c r="Y78" s="95">
        <v>10995</v>
      </c>
      <c r="Z78" s="32">
        <f>Y78-AA78</f>
        <v>10399</v>
      </c>
      <c r="AA78" s="32">
        <v>596</v>
      </c>
      <c r="AB78" s="32"/>
      <c r="AC78" s="32">
        <v>28.4</v>
      </c>
      <c r="AD78" s="32">
        <f>Y78/AC78</f>
        <v>387.1478873239437</v>
      </c>
      <c r="AE78" s="32">
        <f>AC78/31*100</f>
        <v>91.61290322580645</v>
      </c>
      <c r="AF78" s="32">
        <v>918.5</v>
      </c>
      <c r="AG78" s="32"/>
      <c r="AH78" s="32">
        <v>143905</v>
      </c>
      <c r="AI78" s="32">
        <v>11853</v>
      </c>
      <c r="AJ78" s="32"/>
      <c r="AK78" s="96">
        <v>1.8</v>
      </c>
      <c r="AL78" s="95">
        <v>17969.34</v>
      </c>
      <c r="AM78" s="32">
        <v>6819</v>
      </c>
      <c r="AN78" s="32">
        <v>58452</v>
      </c>
      <c r="AO78" s="32">
        <v>2699.2980000000002</v>
      </c>
      <c r="AP78" s="32">
        <v>253</v>
      </c>
      <c r="AQ78" s="32">
        <v>253</v>
      </c>
      <c r="AR78" s="32"/>
      <c r="AS78" s="32"/>
      <c r="AT78" s="32"/>
      <c r="AU78" s="152">
        <v>8451</v>
      </c>
      <c r="AV78" s="170">
        <v>0.328</v>
      </c>
      <c r="AW78" s="14">
        <v>1849</v>
      </c>
      <c r="AX78" s="104">
        <v>47.72</v>
      </c>
      <c r="AY78" s="104">
        <v>40.9</v>
      </c>
      <c r="AZ78" s="104">
        <v>11.38</v>
      </c>
      <c r="BA78" s="104">
        <v>12.35</v>
      </c>
      <c r="BB78" s="104">
        <v>3.05</v>
      </c>
      <c r="BC78" s="104">
        <v>21.5</v>
      </c>
      <c r="BD78" s="104">
        <v>46.69</v>
      </c>
      <c r="BE78" s="104">
        <v>10.3</v>
      </c>
      <c r="BF78" s="104">
        <v>6.11</v>
      </c>
      <c r="BG78" s="110"/>
      <c r="BH78" s="39"/>
      <c r="BI78" s="14">
        <v>37094</v>
      </c>
      <c r="BJ78" s="14">
        <v>46587</v>
      </c>
      <c r="BK78" s="14"/>
      <c r="BL78" s="14">
        <v>190</v>
      </c>
      <c r="BM78" s="14">
        <v>178</v>
      </c>
      <c r="BN78" s="14">
        <v>162</v>
      </c>
      <c r="BO78" s="14"/>
      <c r="BP78" s="18">
        <v>162</v>
      </c>
      <c r="BQ78" s="28"/>
      <c r="BR78" s="29">
        <v>10.24</v>
      </c>
      <c r="BS78" s="29">
        <v>8.94</v>
      </c>
      <c r="BT78" s="29"/>
      <c r="BU78" s="29">
        <v>25.62</v>
      </c>
      <c r="BV78" s="29">
        <v>20.11</v>
      </c>
      <c r="BW78" s="29"/>
      <c r="BX78" s="29">
        <v>17.87</v>
      </c>
      <c r="BY78" s="29">
        <v>17.45</v>
      </c>
      <c r="BZ78" s="29"/>
      <c r="CA78" s="29">
        <v>17.1</v>
      </c>
      <c r="CB78" s="30">
        <v>12.81</v>
      </c>
      <c r="CC78" s="28">
        <v>7.4</v>
      </c>
      <c r="CD78" s="29">
        <v>15</v>
      </c>
      <c r="CE78" s="29">
        <v>12</v>
      </c>
      <c r="CF78" s="29">
        <v>5</v>
      </c>
      <c r="CG78" s="29">
        <v>0</v>
      </c>
      <c r="CH78" s="29">
        <v>0.045</v>
      </c>
      <c r="CI78" s="29">
        <v>0</v>
      </c>
      <c r="CJ78" s="30">
        <v>0.045</v>
      </c>
    </row>
    <row r="79" spans="1:88" ht="16.5" customHeight="1">
      <c r="A79" s="592"/>
      <c r="B79" s="3" t="s">
        <v>27</v>
      </c>
      <c r="C79" s="39">
        <v>14877</v>
      </c>
      <c r="D79" s="14">
        <v>30</v>
      </c>
      <c r="E79" s="440">
        <f t="shared" si="61"/>
        <v>2555</v>
      </c>
      <c r="F79" s="14">
        <v>2220</v>
      </c>
      <c r="G79" s="440">
        <v>335</v>
      </c>
      <c r="H79" s="14">
        <v>632</v>
      </c>
      <c r="I79" s="14">
        <v>632</v>
      </c>
      <c r="J79" s="14"/>
      <c r="K79" s="18"/>
      <c r="L79" s="95">
        <v>4135</v>
      </c>
      <c r="M79" s="32">
        <f>L79-N79</f>
        <v>4093</v>
      </c>
      <c r="N79" s="32">
        <v>42</v>
      </c>
      <c r="O79" s="32"/>
      <c r="P79" s="32">
        <v>21.4</v>
      </c>
      <c r="Q79" s="32">
        <f>L79/P79</f>
        <v>193.22429906542058</v>
      </c>
      <c r="R79" s="32">
        <f>P79/30*100</f>
        <v>71.33333333333333</v>
      </c>
      <c r="S79" s="32">
        <v>873</v>
      </c>
      <c r="T79" s="32"/>
      <c r="U79" s="32">
        <v>39840</v>
      </c>
      <c r="V79" s="32"/>
      <c r="W79" s="32"/>
      <c r="X79" s="598"/>
      <c r="Y79" s="95">
        <v>10966</v>
      </c>
      <c r="Z79" s="32">
        <f>Y79-AA79</f>
        <v>10376</v>
      </c>
      <c r="AA79" s="32">
        <v>590</v>
      </c>
      <c r="AB79" s="32"/>
      <c r="AC79" s="32">
        <v>27.8</v>
      </c>
      <c r="AD79" s="32">
        <f>Y79/AC79</f>
        <v>394.46043165467626</v>
      </c>
      <c r="AE79" s="32">
        <f>AC79/30*100</f>
        <v>92.66666666666666</v>
      </c>
      <c r="AF79" s="32">
        <v>911</v>
      </c>
      <c r="AG79" s="32"/>
      <c r="AH79" s="32">
        <v>45074</v>
      </c>
      <c r="AI79" s="32">
        <v>4868</v>
      </c>
      <c r="AJ79" s="32"/>
      <c r="AK79" s="96">
        <v>1.2</v>
      </c>
      <c r="AL79" s="95">
        <v>27468.5</v>
      </c>
      <c r="AM79" s="32">
        <v>15517</v>
      </c>
      <c r="AN79" s="32">
        <v>133012</v>
      </c>
      <c r="AO79" s="32"/>
      <c r="AP79" s="32"/>
      <c r="AQ79" s="32"/>
      <c r="AR79" s="32"/>
      <c r="AS79" s="32"/>
      <c r="AT79" s="32"/>
      <c r="AU79" s="152">
        <v>11952</v>
      </c>
      <c r="AV79" s="170">
        <v>0.334</v>
      </c>
      <c r="AW79" s="14">
        <v>1734</v>
      </c>
      <c r="AX79" s="104">
        <v>50.43</v>
      </c>
      <c r="AY79" s="104">
        <v>38.45</v>
      </c>
      <c r="AZ79" s="104">
        <v>11.12</v>
      </c>
      <c r="BA79" s="104">
        <v>12.61</v>
      </c>
      <c r="BB79" s="104">
        <v>2.87</v>
      </c>
      <c r="BC79" s="104">
        <v>21.85</v>
      </c>
      <c r="BD79" s="104">
        <v>46.32</v>
      </c>
      <c r="BE79" s="104">
        <v>10.61</v>
      </c>
      <c r="BF79" s="104">
        <v>5.74</v>
      </c>
      <c r="BG79" s="110"/>
      <c r="BH79" s="39">
        <v>29945</v>
      </c>
      <c r="BI79" s="14">
        <v>58515</v>
      </c>
      <c r="BJ79" s="14">
        <v>54380</v>
      </c>
      <c r="BK79" s="14">
        <v>206</v>
      </c>
      <c r="BL79" s="14">
        <v>184</v>
      </c>
      <c r="BM79" s="14">
        <v>188</v>
      </c>
      <c r="BN79" s="14">
        <v>73</v>
      </c>
      <c r="BO79" s="14"/>
      <c r="BP79" s="18">
        <v>73</v>
      </c>
      <c r="BQ79" s="28">
        <v>13.89</v>
      </c>
      <c r="BR79" s="29">
        <v>17.87</v>
      </c>
      <c r="BS79" s="29">
        <v>33.28</v>
      </c>
      <c r="BT79" s="29">
        <v>20.84</v>
      </c>
      <c r="BU79" s="29">
        <v>12.37</v>
      </c>
      <c r="BV79" s="29">
        <v>10.25</v>
      </c>
      <c r="BW79" s="29">
        <v>10.96</v>
      </c>
      <c r="BX79" s="29">
        <v>13.2</v>
      </c>
      <c r="BY79" s="29">
        <v>19.76</v>
      </c>
      <c r="BZ79" s="29">
        <v>2.69</v>
      </c>
      <c r="CA79" s="29">
        <v>13.59</v>
      </c>
      <c r="CB79" s="30">
        <v>15.47</v>
      </c>
      <c r="CC79" s="28">
        <v>7.5</v>
      </c>
      <c r="CD79" s="29">
        <v>10</v>
      </c>
      <c r="CE79" s="29">
        <v>8</v>
      </c>
      <c r="CF79" s="29">
        <v>3</v>
      </c>
      <c r="CG79" s="29">
        <v>0</v>
      </c>
      <c r="CH79" s="29">
        <v>0.01</v>
      </c>
      <c r="CI79" s="29">
        <v>0</v>
      </c>
      <c r="CJ79" s="30">
        <v>0.012</v>
      </c>
    </row>
    <row r="80" spans="1:88" ht="16.5" customHeight="1">
      <c r="A80" s="592"/>
      <c r="B80" s="3" t="s">
        <v>28</v>
      </c>
      <c r="C80" s="39">
        <v>18187</v>
      </c>
      <c r="D80" s="14">
        <v>31</v>
      </c>
      <c r="E80" s="440">
        <f t="shared" si="61"/>
        <v>3599</v>
      </c>
      <c r="F80" s="14">
        <v>2964</v>
      </c>
      <c r="G80" s="440">
        <v>635</v>
      </c>
      <c r="H80" s="14">
        <v>417</v>
      </c>
      <c r="I80" s="14">
        <v>417</v>
      </c>
      <c r="J80" s="14"/>
      <c r="K80" s="18"/>
      <c r="L80" s="95">
        <v>5914</v>
      </c>
      <c r="M80" s="32">
        <f>L80-N80</f>
        <v>5805</v>
      </c>
      <c r="N80" s="32">
        <v>109</v>
      </c>
      <c r="O80" s="32"/>
      <c r="P80" s="32">
        <v>30.5</v>
      </c>
      <c r="Q80" s="32">
        <f>L80/P80</f>
        <v>193.9016393442623</v>
      </c>
      <c r="R80" s="32">
        <f>P80/31*100</f>
        <v>98.38709677419355</v>
      </c>
      <c r="S80" s="32">
        <v>890</v>
      </c>
      <c r="T80" s="32"/>
      <c r="U80" s="32">
        <v>49277</v>
      </c>
      <c r="V80" s="32"/>
      <c r="W80" s="32"/>
      <c r="X80" s="598"/>
      <c r="Y80" s="95">
        <v>12143</v>
      </c>
      <c r="Z80" s="32">
        <f>Y80-AA80</f>
        <v>11835</v>
      </c>
      <c r="AA80" s="32">
        <v>308</v>
      </c>
      <c r="AB80" s="32"/>
      <c r="AC80" s="32">
        <v>31</v>
      </c>
      <c r="AD80" s="32">
        <f>Y80/AC80</f>
        <v>391.7096774193548</v>
      </c>
      <c r="AE80" s="32">
        <f>AC80/31*100</f>
        <v>100</v>
      </c>
      <c r="AF80" s="32">
        <v>923.5</v>
      </c>
      <c r="AG80" s="32"/>
      <c r="AH80" s="32">
        <v>84016</v>
      </c>
      <c r="AI80" s="32"/>
      <c r="AJ80" s="32"/>
      <c r="AK80" s="96">
        <v>1.3</v>
      </c>
      <c r="AL80" s="95">
        <v>34221.07</v>
      </c>
      <c r="AM80" s="32">
        <v>15913</v>
      </c>
      <c r="AN80" s="32">
        <v>136406</v>
      </c>
      <c r="AO80" s="32">
        <v>2587</v>
      </c>
      <c r="AP80" s="32">
        <v>271</v>
      </c>
      <c r="AQ80" s="32">
        <v>271</v>
      </c>
      <c r="AR80" s="32"/>
      <c r="AS80" s="32"/>
      <c r="AT80" s="32"/>
      <c r="AU80" s="152">
        <v>15721</v>
      </c>
      <c r="AV80" s="170">
        <v>0.335</v>
      </c>
      <c r="AW80" s="14">
        <v>1748</v>
      </c>
      <c r="AX80" s="104">
        <v>50.24</v>
      </c>
      <c r="AY80" s="104">
        <v>38.64</v>
      </c>
      <c r="AZ80" s="104">
        <v>11.12</v>
      </c>
      <c r="BA80" s="104">
        <v>12.19</v>
      </c>
      <c r="BB80" s="104">
        <v>2.74</v>
      </c>
      <c r="BC80" s="104">
        <v>22.26</v>
      </c>
      <c r="BD80" s="104">
        <v>46.39</v>
      </c>
      <c r="BE80" s="104">
        <v>10.82</v>
      </c>
      <c r="BF80" s="104">
        <v>5.6</v>
      </c>
      <c r="BG80" s="110"/>
      <c r="BH80" s="39">
        <v>34537</v>
      </c>
      <c r="BI80" s="14">
        <v>51261</v>
      </c>
      <c r="BJ80" s="14">
        <v>55231</v>
      </c>
      <c r="BK80" s="14">
        <v>205</v>
      </c>
      <c r="BL80" s="14">
        <v>202</v>
      </c>
      <c r="BM80" s="14">
        <v>202</v>
      </c>
      <c r="BN80" s="14">
        <v>43</v>
      </c>
      <c r="BO80" s="14"/>
      <c r="BP80" s="18">
        <v>43</v>
      </c>
      <c r="BQ80" s="28">
        <v>12.74</v>
      </c>
      <c r="BR80" s="29">
        <v>29.6</v>
      </c>
      <c r="BS80" s="29">
        <v>35.28</v>
      </c>
      <c r="BT80" s="29">
        <v>20.32</v>
      </c>
      <c r="BU80" s="29">
        <v>19.55</v>
      </c>
      <c r="BV80" s="29">
        <v>4.73</v>
      </c>
      <c r="BW80" s="29">
        <v>9.84</v>
      </c>
      <c r="BX80" s="29">
        <v>12.32</v>
      </c>
      <c r="BY80" s="29">
        <v>14.52</v>
      </c>
      <c r="BZ80" s="29">
        <v>1.7</v>
      </c>
      <c r="CA80" s="29">
        <v>14.99</v>
      </c>
      <c r="CB80" s="30">
        <v>13.83</v>
      </c>
      <c r="CC80" s="28">
        <v>7.6</v>
      </c>
      <c r="CD80" s="29">
        <v>10</v>
      </c>
      <c r="CE80" s="29">
        <v>7</v>
      </c>
      <c r="CF80" s="29">
        <v>4</v>
      </c>
      <c r="CG80" s="29">
        <v>0.013</v>
      </c>
      <c r="CH80" s="29">
        <v>0.105</v>
      </c>
      <c r="CI80" s="29">
        <v>0</v>
      </c>
      <c r="CJ80" s="30">
        <v>0.004</v>
      </c>
    </row>
    <row r="81" spans="1:88" ht="16.5" customHeight="1">
      <c r="A81" s="592"/>
      <c r="B81" s="3" t="s">
        <v>29</v>
      </c>
      <c r="C81" s="39">
        <v>14963</v>
      </c>
      <c r="D81" s="14">
        <v>24</v>
      </c>
      <c r="E81" s="440">
        <f t="shared" si="61"/>
        <v>2644</v>
      </c>
      <c r="F81" s="14">
        <v>2328</v>
      </c>
      <c r="G81" s="440">
        <v>316</v>
      </c>
      <c r="H81" s="14">
        <v>196</v>
      </c>
      <c r="I81" s="14">
        <v>196</v>
      </c>
      <c r="J81" s="14"/>
      <c r="K81" s="18"/>
      <c r="L81" s="95">
        <v>4552</v>
      </c>
      <c r="M81" s="32">
        <f>L81-N81</f>
        <v>4498</v>
      </c>
      <c r="N81" s="32">
        <v>54</v>
      </c>
      <c r="O81" s="32"/>
      <c r="P81" s="32">
        <v>23.4</v>
      </c>
      <c r="Q81" s="32">
        <f>L81/P81</f>
        <v>194.52991452991455</v>
      </c>
      <c r="R81" s="32">
        <f>P81/30*100</f>
        <v>77.99999999999999</v>
      </c>
      <c r="S81" s="32">
        <v>881</v>
      </c>
      <c r="T81" s="32"/>
      <c r="U81" s="32">
        <v>33600</v>
      </c>
      <c r="V81" s="32">
        <v>3442</v>
      </c>
      <c r="W81" s="32"/>
      <c r="X81" s="598"/>
      <c r="Y81" s="95">
        <v>9325</v>
      </c>
      <c r="Z81" s="32">
        <f>Y81-AA81</f>
        <v>9183</v>
      </c>
      <c r="AA81" s="32">
        <v>142</v>
      </c>
      <c r="AB81" s="32"/>
      <c r="AC81" s="32">
        <v>23.8</v>
      </c>
      <c r="AD81" s="32">
        <f>Y81/AC81</f>
        <v>391.8067226890756</v>
      </c>
      <c r="AE81" s="32">
        <f>AC81/30*100</f>
        <v>79.33333333333333</v>
      </c>
      <c r="AF81" s="32">
        <v>913</v>
      </c>
      <c r="AG81" s="32"/>
      <c r="AH81" s="32">
        <v>66521</v>
      </c>
      <c r="AI81" s="32">
        <v>7907</v>
      </c>
      <c r="AJ81" s="32"/>
      <c r="AK81" s="96">
        <v>1.2</v>
      </c>
      <c r="AL81" s="95">
        <v>25242.06</v>
      </c>
      <c r="AM81" s="32">
        <v>14491</v>
      </c>
      <c r="AN81" s="32">
        <v>124217</v>
      </c>
      <c r="AO81" s="32"/>
      <c r="AP81" s="32"/>
      <c r="AQ81" s="32"/>
      <c r="AR81" s="32"/>
      <c r="AS81" s="32"/>
      <c r="AT81" s="32"/>
      <c r="AU81" s="152">
        <v>10751</v>
      </c>
      <c r="AV81" s="170">
        <v>0.337</v>
      </c>
      <c r="AW81" s="14">
        <v>1737</v>
      </c>
      <c r="AX81" s="104">
        <v>50.74</v>
      </c>
      <c r="AY81" s="104">
        <v>38.1</v>
      </c>
      <c r="AZ81" s="104">
        <v>11.16</v>
      </c>
      <c r="BA81" s="104">
        <v>12.13</v>
      </c>
      <c r="BB81" s="104">
        <v>2.72</v>
      </c>
      <c r="BC81" s="104">
        <v>21.78</v>
      </c>
      <c r="BD81" s="104">
        <v>46.78</v>
      </c>
      <c r="BE81" s="104">
        <v>11.02</v>
      </c>
      <c r="BF81" s="104">
        <v>5.57</v>
      </c>
      <c r="BG81" s="110"/>
      <c r="BH81" s="39">
        <v>33598</v>
      </c>
      <c r="BI81" s="14">
        <v>45985</v>
      </c>
      <c r="BJ81" s="14">
        <v>38305</v>
      </c>
      <c r="BK81" s="14">
        <v>208</v>
      </c>
      <c r="BL81" s="14">
        <v>199</v>
      </c>
      <c r="BM81" s="14">
        <v>201</v>
      </c>
      <c r="BN81" s="14">
        <v>106</v>
      </c>
      <c r="BO81" s="14"/>
      <c r="BP81" s="18">
        <v>106</v>
      </c>
      <c r="BQ81" s="28">
        <v>14.93</v>
      </c>
      <c r="BR81" s="29">
        <v>18.99</v>
      </c>
      <c r="BS81" s="29">
        <v>18.22</v>
      </c>
      <c r="BT81" s="29">
        <v>39.42</v>
      </c>
      <c r="BU81" s="29">
        <v>25.28</v>
      </c>
      <c r="BV81" s="29">
        <v>23.67</v>
      </c>
      <c r="BW81" s="29">
        <v>19.18</v>
      </c>
      <c r="BX81" s="29">
        <v>13.69</v>
      </c>
      <c r="BY81" s="29">
        <v>10.76</v>
      </c>
      <c r="BZ81" s="29">
        <v>1.96</v>
      </c>
      <c r="CA81" s="29">
        <v>12.13</v>
      </c>
      <c r="CB81" s="30">
        <v>13.67</v>
      </c>
      <c r="CC81" s="28">
        <v>7.4</v>
      </c>
      <c r="CD81" s="29">
        <v>8</v>
      </c>
      <c r="CE81" s="29">
        <v>6</v>
      </c>
      <c r="CF81" s="29">
        <v>4</v>
      </c>
      <c r="CG81" s="29"/>
      <c r="CH81" s="29"/>
      <c r="CI81" s="29"/>
      <c r="CJ81" s="30"/>
    </row>
    <row r="82" spans="1:88" ht="16.5" customHeight="1" thickBot="1">
      <c r="A82" s="593"/>
      <c r="B82" s="4" t="s">
        <v>30</v>
      </c>
      <c r="C82" s="40">
        <v>18456</v>
      </c>
      <c r="D82" s="15">
        <v>31</v>
      </c>
      <c r="E82" s="678">
        <f t="shared" si="61"/>
        <v>3612</v>
      </c>
      <c r="F82" s="15">
        <v>3010</v>
      </c>
      <c r="G82" s="678">
        <v>602</v>
      </c>
      <c r="H82" s="15">
        <v>346</v>
      </c>
      <c r="I82" s="15">
        <v>346</v>
      </c>
      <c r="J82" s="15"/>
      <c r="K82" s="19"/>
      <c r="L82" s="153">
        <v>6005</v>
      </c>
      <c r="M82" s="99">
        <f>L82-N82</f>
        <v>5954</v>
      </c>
      <c r="N82" s="99">
        <v>51</v>
      </c>
      <c r="O82" s="99"/>
      <c r="P82" s="99">
        <v>31</v>
      </c>
      <c r="Q82" s="99">
        <f>L82/P82</f>
        <v>193.70967741935485</v>
      </c>
      <c r="R82" s="99">
        <f>P82/31*100</f>
        <v>100</v>
      </c>
      <c r="S82" s="99">
        <v>887</v>
      </c>
      <c r="T82" s="99"/>
      <c r="U82" s="99">
        <v>45034</v>
      </c>
      <c r="V82" s="99"/>
      <c r="W82" s="99"/>
      <c r="X82" s="684">
        <v>1.4</v>
      </c>
      <c r="Y82" s="153">
        <v>12150</v>
      </c>
      <c r="Z82" s="99">
        <f>Y82-AA82</f>
        <v>11855</v>
      </c>
      <c r="AA82" s="99">
        <v>295</v>
      </c>
      <c r="AB82" s="99"/>
      <c r="AC82" s="99">
        <v>31</v>
      </c>
      <c r="AD82" s="99">
        <f>Y82/AC82</f>
        <v>391.93548387096774</v>
      </c>
      <c r="AE82" s="99">
        <f>AC82/31*100</f>
        <v>100</v>
      </c>
      <c r="AF82" s="99">
        <v>894.5</v>
      </c>
      <c r="AG82" s="99"/>
      <c r="AH82" s="99">
        <v>90390</v>
      </c>
      <c r="AI82" s="99"/>
      <c r="AJ82" s="99"/>
      <c r="AK82" s="586">
        <v>1.4</v>
      </c>
      <c r="AL82" s="153">
        <v>30532.1</v>
      </c>
      <c r="AM82" s="99">
        <v>16990</v>
      </c>
      <c r="AN82" s="99">
        <v>145638</v>
      </c>
      <c r="AO82" s="99"/>
      <c r="AP82" s="99"/>
      <c r="AQ82" s="99"/>
      <c r="AR82" s="99"/>
      <c r="AS82" s="99"/>
      <c r="AT82" s="99"/>
      <c r="AU82" s="665">
        <v>13542</v>
      </c>
      <c r="AV82" s="172">
        <v>0.338</v>
      </c>
      <c r="AW82" s="15">
        <v>1693</v>
      </c>
      <c r="AX82" s="112">
        <v>51.74</v>
      </c>
      <c r="AY82" s="112">
        <v>37.42</v>
      </c>
      <c r="AZ82" s="112">
        <v>10.85</v>
      </c>
      <c r="BA82" s="112">
        <v>12.11</v>
      </c>
      <c r="BB82" s="112">
        <v>2.71</v>
      </c>
      <c r="BC82" s="112">
        <v>21.48</v>
      </c>
      <c r="BD82" s="112">
        <v>46.79</v>
      </c>
      <c r="BE82" s="112">
        <v>11.61</v>
      </c>
      <c r="BF82" s="112">
        <v>5.3</v>
      </c>
      <c r="BG82" s="113"/>
      <c r="BH82" s="40">
        <v>36820</v>
      </c>
      <c r="BI82" s="15">
        <v>52529</v>
      </c>
      <c r="BJ82" s="15">
        <v>46889</v>
      </c>
      <c r="BK82" s="15">
        <v>208</v>
      </c>
      <c r="BL82" s="15">
        <v>202</v>
      </c>
      <c r="BM82" s="15">
        <v>201</v>
      </c>
      <c r="BN82" s="15">
        <v>140</v>
      </c>
      <c r="BO82" s="15"/>
      <c r="BP82" s="19">
        <v>140</v>
      </c>
      <c r="BQ82" s="42">
        <v>11.34</v>
      </c>
      <c r="BR82" s="31">
        <v>8.57</v>
      </c>
      <c r="BS82" s="31">
        <v>12.11</v>
      </c>
      <c r="BT82" s="31">
        <v>15.4</v>
      </c>
      <c r="BU82" s="31">
        <v>23.82</v>
      </c>
      <c r="BV82" s="31">
        <v>9.93</v>
      </c>
      <c r="BW82" s="31">
        <v>5.44</v>
      </c>
      <c r="BX82" s="31">
        <v>8.05</v>
      </c>
      <c r="BY82" s="31">
        <v>6.49</v>
      </c>
      <c r="BZ82" s="31">
        <v>4.75</v>
      </c>
      <c r="CA82" s="31">
        <v>11.44</v>
      </c>
      <c r="CB82" s="73">
        <v>4.23</v>
      </c>
      <c r="CC82" s="42">
        <v>7.4</v>
      </c>
      <c r="CD82" s="31">
        <v>6</v>
      </c>
      <c r="CE82" s="31">
        <v>5</v>
      </c>
      <c r="CF82" s="31">
        <v>3</v>
      </c>
      <c r="CG82" s="31">
        <v>0.009</v>
      </c>
      <c r="CH82" s="31">
        <v>0.14</v>
      </c>
      <c r="CI82" s="31">
        <v>0.002</v>
      </c>
      <c r="CJ82" s="73"/>
    </row>
    <row r="83" spans="1:88" ht="16.5" customHeight="1">
      <c r="A83" s="590" t="s">
        <v>56</v>
      </c>
      <c r="B83" s="2" t="s">
        <v>48</v>
      </c>
      <c r="C83" s="671">
        <f>SUM(C84:C95)</f>
        <v>64673.75000000001</v>
      </c>
      <c r="D83" s="196">
        <f>SUM(D84:D95)</f>
        <v>316</v>
      </c>
      <c r="E83" s="196">
        <f aca="true" t="shared" si="62" ref="E83:E108">F83+G83</f>
        <v>9428.689999999999</v>
      </c>
      <c r="F83" s="196">
        <f>SUM(F84:F95)</f>
        <v>8168.9</v>
      </c>
      <c r="G83" s="196">
        <f>SUM(G84:G95)</f>
        <v>1259.79</v>
      </c>
      <c r="H83" s="196">
        <f>SUM(H84:H95)</f>
        <v>6864</v>
      </c>
      <c r="I83" s="196"/>
      <c r="J83" s="196">
        <f>SUM(J84:J95)</f>
        <v>6864.46</v>
      </c>
      <c r="K83" s="197"/>
      <c r="L83" s="242">
        <f>SUM(L84:L95)</f>
        <v>61748.99999999999</v>
      </c>
      <c r="M83" s="229">
        <f>SUM(M84:M95)</f>
        <v>61748.99999999999</v>
      </c>
      <c r="N83" s="229"/>
      <c r="O83" s="229"/>
      <c r="P83" s="229">
        <f>SUM(P84:P95)</f>
        <v>316</v>
      </c>
      <c r="Q83" s="229">
        <f>M83/316</f>
        <v>195.40822784810123</v>
      </c>
      <c r="R83" s="229">
        <f>(Q83/200)*100</f>
        <v>97.70411392405062</v>
      </c>
      <c r="S83" s="229">
        <f>SUM(S84:S95)/12</f>
        <v>925.25</v>
      </c>
      <c r="T83" s="229">
        <f>SUM(T84:T95)</f>
        <v>55144</v>
      </c>
      <c r="U83" s="229">
        <f>SUM(U84:U95)</f>
        <v>485681</v>
      </c>
      <c r="V83" s="229"/>
      <c r="W83" s="229"/>
      <c r="X83" s="664">
        <f>SUM(X84:X95)/11</f>
        <v>4.863636363636363</v>
      </c>
      <c r="Y83" s="91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214"/>
      <c r="AL83" s="216">
        <f>SUM(AL84:AL95)</f>
        <v>172870</v>
      </c>
      <c r="AM83" s="217">
        <f>SUM(AM84:AM95)</f>
        <v>105525</v>
      </c>
      <c r="AN83" s="217">
        <f>SUM(AN84:AN95)</f>
        <v>681327</v>
      </c>
      <c r="AO83" s="217"/>
      <c r="AP83" s="217"/>
      <c r="AQ83" s="217"/>
      <c r="AR83" s="217"/>
      <c r="AS83" s="217"/>
      <c r="AT83" s="217"/>
      <c r="AU83" s="218">
        <f>SUM(AU84:AU95)</f>
        <v>67345</v>
      </c>
      <c r="AV83" s="228">
        <f aca="true" t="shared" si="63" ref="AV83:BF83">SUM(AV84:AV95)/11</f>
        <v>0.43454545454545457</v>
      </c>
      <c r="AW83" s="229">
        <f t="shared" si="63"/>
        <v>1649.1818181818182</v>
      </c>
      <c r="AX83" s="230">
        <f t="shared" si="63"/>
        <v>48.097272727272724</v>
      </c>
      <c r="AY83" s="230">
        <f t="shared" si="63"/>
        <v>43.99090909090909</v>
      </c>
      <c r="AZ83" s="230">
        <f t="shared" si="63"/>
        <v>7.911818181818182</v>
      </c>
      <c r="BA83" s="230">
        <f t="shared" si="63"/>
        <v>14.835454545454546</v>
      </c>
      <c r="BB83" s="230">
        <f t="shared" si="63"/>
        <v>6.574545454545454</v>
      </c>
      <c r="BC83" s="230">
        <f t="shared" si="63"/>
        <v>21.480000000000004</v>
      </c>
      <c r="BD83" s="230">
        <f t="shared" si="63"/>
        <v>49.20181818181818</v>
      </c>
      <c r="BE83" s="230">
        <f t="shared" si="63"/>
        <v>4.029090909090909</v>
      </c>
      <c r="BF83" s="230">
        <f t="shared" si="63"/>
        <v>3.8790909090909085</v>
      </c>
      <c r="BG83" s="231"/>
      <c r="BH83" s="242">
        <v>46293</v>
      </c>
      <c r="BI83" s="229"/>
      <c r="BJ83" s="155"/>
      <c r="BK83" s="229">
        <v>208</v>
      </c>
      <c r="BL83" s="229"/>
      <c r="BM83" s="155"/>
      <c r="BN83" s="229">
        <f>SUM(BN84:BN95)</f>
        <v>3610.7000000000003</v>
      </c>
      <c r="BO83" s="229"/>
      <c r="BP83" s="243">
        <f>SUM(BP84:BP95)</f>
        <v>3610.7000000000003</v>
      </c>
      <c r="BQ83" s="247">
        <f>SUM(BQ84:BQ95)/12</f>
        <v>13.148333333333333</v>
      </c>
      <c r="BR83" s="248"/>
      <c r="BS83" s="182"/>
      <c r="BT83" s="248">
        <f>SUM(BT84:BT95)/12</f>
        <v>30.789166666666674</v>
      </c>
      <c r="BU83" s="248"/>
      <c r="BV83" s="182"/>
      <c r="BW83" s="248">
        <f>SUM(BW84:BW95)/12</f>
        <v>0.9366666666666666</v>
      </c>
      <c r="BX83" s="248"/>
      <c r="BY83" s="182"/>
      <c r="BZ83" s="248">
        <f>SUM(BZ84:BZ95)/12</f>
        <v>5.628333333333334</v>
      </c>
      <c r="CA83" s="248"/>
      <c r="CB83" s="183"/>
      <c r="CC83" s="247">
        <f aca="true" t="shared" si="64" ref="CC83:CJ83">SUM(CC84:CC95)/12</f>
        <v>8.241666666666667</v>
      </c>
      <c r="CD83" s="248">
        <f t="shared" si="64"/>
        <v>4.725</v>
      </c>
      <c r="CE83" s="248">
        <f t="shared" si="64"/>
        <v>6.866666666666667</v>
      </c>
      <c r="CF83" s="248">
        <f t="shared" si="64"/>
        <v>10.141666666666666</v>
      </c>
      <c r="CG83" s="248">
        <f t="shared" si="64"/>
        <v>0.02</v>
      </c>
      <c r="CH83" s="248">
        <f t="shared" si="64"/>
        <v>0.06083333333333333</v>
      </c>
      <c r="CI83" s="248">
        <f t="shared" si="64"/>
        <v>0</v>
      </c>
      <c r="CJ83" s="265">
        <f t="shared" si="64"/>
        <v>0.0033333333333333335</v>
      </c>
    </row>
    <row r="84" spans="1:88" ht="16.5" customHeight="1">
      <c r="A84" s="591"/>
      <c r="B84" s="3" t="s">
        <v>19</v>
      </c>
      <c r="C84" s="672">
        <v>6546.41</v>
      </c>
      <c r="D84" s="198">
        <v>31</v>
      </c>
      <c r="E84" s="198">
        <f t="shared" si="62"/>
        <v>934.37</v>
      </c>
      <c r="F84" s="198">
        <v>934.37</v>
      </c>
      <c r="G84" s="198"/>
      <c r="H84" s="198">
        <v>210</v>
      </c>
      <c r="I84" s="198"/>
      <c r="J84" s="198">
        <v>210</v>
      </c>
      <c r="K84" s="199">
        <v>0</v>
      </c>
      <c r="L84" s="222">
        <f aca="true" t="shared" si="65" ref="L84:L95">M84+N84+O84</f>
        <v>6405.05</v>
      </c>
      <c r="M84" s="210">
        <v>6405.05</v>
      </c>
      <c r="N84" s="210"/>
      <c r="O84" s="210"/>
      <c r="P84" s="210">
        <v>31</v>
      </c>
      <c r="Q84" s="210">
        <f aca="true" t="shared" si="66" ref="Q84:Q95">M84/P84</f>
        <v>206.61451612903227</v>
      </c>
      <c r="R84" s="210"/>
      <c r="S84" s="210">
        <v>909</v>
      </c>
      <c r="T84" s="210">
        <v>3266</v>
      </c>
      <c r="U84" s="210">
        <v>48397</v>
      </c>
      <c r="V84" s="163"/>
      <c r="W84" s="210"/>
      <c r="X84" s="599">
        <v>4.2</v>
      </c>
      <c r="Y84" s="95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152"/>
      <c r="AL84" s="219">
        <f aca="true" t="shared" si="67" ref="AL84:AL95">AM84+AU84</f>
        <v>16352</v>
      </c>
      <c r="AM84" s="220">
        <v>9778</v>
      </c>
      <c r="AN84" s="220">
        <v>60466</v>
      </c>
      <c r="AO84" s="220"/>
      <c r="AP84" s="220"/>
      <c r="AQ84" s="220"/>
      <c r="AR84" s="220"/>
      <c r="AS84" s="220"/>
      <c r="AT84" s="220"/>
      <c r="AU84" s="221">
        <v>6574</v>
      </c>
      <c r="AV84" s="232">
        <v>0.42</v>
      </c>
      <c r="AW84" s="220">
        <v>1582</v>
      </c>
      <c r="AX84" s="233">
        <v>45.78</v>
      </c>
      <c r="AY84" s="233">
        <v>46.14</v>
      </c>
      <c r="AZ84" s="233">
        <v>8.08</v>
      </c>
      <c r="BA84" s="233">
        <v>23.4</v>
      </c>
      <c r="BB84" s="233">
        <v>8.78</v>
      </c>
      <c r="BC84" s="233">
        <v>22.41</v>
      </c>
      <c r="BD84" s="233">
        <v>38.34</v>
      </c>
      <c r="BE84" s="233">
        <v>3.08</v>
      </c>
      <c r="BF84" s="233">
        <v>3.99</v>
      </c>
      <c r="BG84" s="234"/>
      <c r="BH84" s="220">
        <v>45811</v>
      </c>
      <c r="BI84" s="220"/>
      <c r="BJ84" s="159"/>
      <c r="BK84" s="220">
        <v>211</v>
      </c>
      <c r="BL84" s="220"/>
      <c r="BM84" s="159"/>
      <c r="BN84" s="220">
        <v>705.2</v>
      </c>
      <c r="BO84" s="220"/>
      <c r="BP84" s="221">
        <v>705.2</v>
      </c>
      <c r="BQ84" s="249">
        <v>13.34</v>
      </c>
      <c r="BR84" s="250"/>
      <c r="BS84" s="185"/>
      <c r="BT84" s="250">
        <v>36.27</v>
      </c>
      <c r="BU84" s="250"/>
      <c r="BV84" s="185"/>
      <c r="BW84" s="250">
        <v>1.51</v>
      </c>
      <c r="BX84" s="250"/>
      <c r="BY84" s="185"/>
      <c r="BZ84" s="250">
        <v>5.09</v>
      </c>
      <c r="CA84" s="250"/>
      <c r="CB84" s="186"/>
      <c r="CC84" s="251">
        <v>8.5</v>
      </c>
      <c r="CD84" s="252">
        <v>7.4</v>
      </c>
      <c r="CE84" s="252">
        <v>11.8</v>
      </c>
      <c r="CF84" s="252">
        <v>11.6</v>
      </c>
      <c r="CG84" s="252">
        <v>0.02</v>
      </c>
      <c r="CH84" s="252">
        <v>0</v>
      </c>
      <c r="CI84" s="252">
        <v>0</v>
      </c>
      <c r="CJ84" s="266">
        <v>0.01</v>
      </c>
    </row>
    <row r="85" spans="1:88" ht="16.5" customHeight="1">
      <c r="A85" s="591"/>
      <c r="B85" s="3" t="s">
        <v>20</v>
      </c>
      <c r="C85" s="672">
        <v>5453.87</v>
      </c>
      <c r="D85" s="198">
        <v>25</v>
      </c>
      <c r="E85" s="198">
        <f t="shared" si="62"/>
        <v>1174.29</v>
      </c>
      <c r="F85" s="198">
        <v>952.29</v>
      </c>
      <c r="G85" s="198">
        <v>222</v>
      </c>
      <c r="H85" s="198">
        <v>434</v>
      </c>
      <c r="I85" s="198"/>
      <c r="J85" s="198">
        <v>434</v>
      </c>
      <c r="K85" s="199"/>
      <c r="L85" s="222">
        <f t="shared" si="65"/>
        <v>5284.16</v>
      </c>
      <c r="M85" s="210">
        <v>5284.16</v>
      </c>
      <c r="N85" s="210"/>
      <c r="O85" s="210"/>
      <c r="P85" s="210">
        <v>26</v>
      </c>
      <c r="Q85" s="210">
        <f t="shared" si="66"/>
        <v>203.23692307692306</v>
      </c>
      <c r="R85" s="210"/>
      <c r="S85" s="210">
        <v>900</v>
      </c>
      <c r="T85" s="210">
        <v>3401</v>
      </c>
      <c r="U85" s="210">
        <v>44129</v>
      </c>
      <c r="V85" s="210"/>
      <c r="W85" s="210"/>
      <c r="X85" s="599">
        <v>4.7</v>
      </c>
      <c r="Y85" s="95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152"/>
      <c r="AL85" s="222">
        <f t="shared" si="67"/>
        <v>13913</v>
      </c>
      <c r="AM85" s="210">
        <v>8277</v>
      </c>
      <c r="AN85" s="210">
        <v>52294</v>
      </c>
      <c r="AO85" s="210"/>
      <c r="AP85" s="210"/>
      <c r="AQ85" s="210"/>
      <c r="AR85" s="210"/>
      <c r="AS85" s="210"/>
      <c r="AT85" s="210"/>
      <c r="AU85" s="223">
        <v>5636</v>
      </c>
      <c r="AV85" s="235">
        <v>0.44</v>
      </c>
      <c r="AW85" s="210">
        <v>1582</v>
      </c>
      <c r="AX85" s="236">
        <v>46.29</v>
      </c>
      <c r="AY85" s="236">
        <v>45.01</v>
      </c>
      <c r="AZ85" s="236">
        <v>8.7</v>
      </c>
      <c r="BA85" s="236">
        <v>22.43</v>
      </c>
      <c r="BB85" s="236">
        <v>7.97</v>
      </c>
      <c r="BC85" s="236">
        <v>21.55</v>
      </c>
      <c r="BD85" s="236">
        <v>39.13</v>
      </c>
      <c r="BE85" s="236">
        <v>4.71</v>
      </c>
      <c r="BF85" s="236">
        <v>4.21</v>
      </c>
      <c r="BG85" s="237"/>
      <c r="BH85" s="210">
        <v>38984</v>
      </c>
      <c r="BI85" s="210"/>
      <c r="BJ85" s="163"/>
      <c r="BK85" s="210">
        <v>214</v>
      </c>
      <c r="BL85" s="210"/>
      <c r="BM85" s="163"/>
      <c r="BN85" s="210">
        <v>582</v>
      </c>
      <c r="BO85" s="210"/>
      <c r="BP85" s="223">
        <v>582</v>
      </c>
      <c r="BQ85" s="251">
        <v>9.53</v>
      </c>
      <c r="BR85" s="252"/>
      <c r="BS85" s="188"/>
      <c r="BT85" s="252">
        <v>35.17</v>
      </c>
      <c r="BU85" s="252"/>
      <c r="BV85" s="188"/>
      <c r="BW85" s="252">
        <v>2.41</v>
      </c>
      <c r="BX85" s="252"/>
      <c r="BY85" s="188"/>
      <c r="BZ85" s="252">
        <v>7.63</v>
      </c>
      <c r="CA85" s="252"/>
      <c r="CB85" s="189"/>
      <c r="CC85" s="251">
        <v>7.6</v>
      </c>
      <c r="CD85" s="252">
        <v>8.5</v>
      </c>
      <c r="CE85" s="252">
        <v>12.1</v>
      </c>
      <c r="CF85" s="252">
        <v>8.4</v>
      </c>
      <c r="CG85" s="252">
        <v>0.04</v>
      </c>
      <c r="CH85" s="252">
        <v>0.06</v>
      </c>
      <c r="CI85" s="252">
        <v>0</v>
      </c>
      <c r="CJ85" s="266">
        <v>0.03</v>
      </c>
    </row>
    <row r="86" spans="1:88" ht="16.5" customHeight="1">
      <c r="A86" s="592"/>
      <c r="B86" s="3" t="s">
        <v>21</v>
      </c>
      <c r="C86" s="672">
        <v>4902.01</v>
      </c>
      <c r="D86" s="198">
        <v>25</v>
      </c>
      <c r="E86" s="198">
        <f t="shared" si="62"/>
        <v>797.4</v>
      </c>
      <c r="F86" s="198">
        <v>690.85</v>
      </c>
      <c r="G86" s="198">
        <v>106.55</v>
      </c>
      <c r="H86" s="198">
        <v>291</v>
      </c>
      <c r="I86" s="198"/>
      <c r="J86" s="198">
        <v>291.38</v>
      </c>
      <c r="K86" s="199"/>
      <c r="L86" s="222">
        <f t="shared" si="65"/>
        <v>5265.95</v>
      </c>
      <c r="M86" s="210">
        <v>5265.95</v>
      </c>
      <c r="N86" s="210"/>
      <c r="O86" s="210"/>
      <c r="P86" s="210">
        <v>25</v>
      </c>
      <c r="Q86" s="210">
        <f t="shared" si="66"/>
        <v>210.638</v>
      </c>
      <c r="R86" s="210"/>
      <c r="S86" s="210">
        <v>893</v>
      </c>
      <c r="T86" s="210">
        <v>4866</v>
      </c>
      <c r="U86" s="210">
        <v>39921</v>
      </c>
      <c r="V86" s="210"/>
      <c r="W86" s="210"/>
      <c r="X86" s="599">
        <v>4.9</v>
      </c>
      <c r="Y86" s="95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152"/>
      <c r="AL86" s="222">
        <f t="shared" si="67"/>
        <v>15158</v>
      </c>
      <c r="AM86" s="210">
        <v>9124</v>
      </c>
      <c r="AN86" s="210">
        <v>57645</v>
      </c>
      <c r="AO86" s="210"/>
      <c r="AP86" s="210"/>
      <c r="AQ86" s="210"/>
      <c r="AR86" s="210"/>
      <c r="AS86" s="210"/>
      <c r="AT86" s="210"/>
      <c r="AU86" s="223">
        <v>6034</v>
      </c>
      <c r="AV86" s="235">
        <v>0.41</v>
      </c>
      <c r="AW86" s="210">
        <v>1687</v>
      </c>
      <c r="AX86" s="236">
        <v>48.75</v>
      </c>
      <c r="AY86" s="236">
        <v>41.5</v>
      </c>
      <c r="AZ86" s="236">
        <v>9.75</v>
      </c>
      <c r="BA86" s="236">
        <v>15.79</v>
      </c>
      <c r="BB86" s="236">
        <v>13.97</v>
      </c>
      <c r="BC86" s="236">
        <v>18.22</v>
      </c>
      <c r="BD86" s="236">
        <v>43.32</v>
      </c>
      <c r="BE86" s="236">
        <v>2.22</v>
      </c>
      <c r="BF86" s="236">
        <v>6.48</v>
      </c>
      <c r="BG86" s="237"/>
      <c r="BH86" s="210">
        <v>28714</v>
      </c>
      <c r="BI86" s="210"/>
      <c r="BJ86" s="163"/>
      <c r="BK86" s="210">
        <v>210</v>
      </c>
      <c r="BL86" s="210"/>
      <c r="BM86" s="163"/>
      <c r="BN86" s="210">
        <v>341.6</v>
      </c>
      <c r="BO86" s="210"/>
      <c r="BP86" s="223">
        <v>341.6</v>
      </c>
      <c r="BQ86" s="251">
        <v>12.04</v>
      </c>
      <c r="BR86" s="252"/>
      <c r="BS86" s="188"/>
      <c r="BT86" s="252">
        <v>30</v>
      </c>
      <c r="BU86" s="252"/>
      <c r="BV86" s="188"/>
      <c r="BW86" s="252">
        <v>0.93</v>
      </c>
      <c r="BX86" s="252"/>
      <c r="BY86" s="188"/>
      <c r="BZ86" s="252">
        <v>5.04</v>
      </c>
      <c r="CA86" s="252"/>
      <c r="CB86" s="189"/>
      <c r="CC86" s="251">
        <v>8.4</v>
      </c>
      <c r="CD86" s="252">
        <v>6</v>
      </c>
      <c r="CE86" s="252">
        <v>8</v>
      </c>
      <c r="CF86" s="252">
        <v>24.8</v>
      </c>
      <c r="CG86" s="252">
        <v>0.11</v>
      </c>
      <c r="CH86" s="252">
        <v>0</v>
      </c>
      <c r="CI86" s="252">
        <v>0</v>
      </c>
      <c r="CJ86" s="266">
        <v>0</v>
      </c>
    </row>
    <row r="87" spans="1:88" ht="16.5" customHeight="1">
      <c r="A87" s="592"/>
      <c r="B87" s="3" t="s">
        <v>22</v>
      </c>
      <c r="C87" s="672">
        <v>5941.55</v>
      </c>
      <c r="D87" s="198">
        <v>30</v>
      </c>
      <c r="E87" s="198">
        <f t="shared" si="62"/>
        <v>859.4000000000001</v>
      </c>
      <c r="F87" s="198">
        <v>717.82</v>
      </c>
      <c r="G87" s="198">
        <v>141.58</v>
      </c>
      <c r="H87" s="198">
        <v>474</v>
      </c>
      <c r="I87" s="198"/>
      <c r="J87" s="198">
        <v>473.62</v>
      </c>
      <c r="K87" s="199"/>
      <c r="L87" s="222">
        <f t="shared" si="65"/>
        <v>6128.34</v>
      </c>
      <c r="M87" s="210">
        <v>6128.34</v>
      </c>
      <c r="N87" s="210"/>
      <c r="O87" s="210"/>
      <c r="P87" s="210">
        <v>30</v>
      </c>
      <c r="Q87" s="210">
        <f t="shared" si="66"/>
        <v>204.278</v>
      </c>
      <c r="R87" s="210"/>
      <c r="S87" s="210">
        <v>937</v>
      </c>
      <c r="T87" s="210">
        <v>2401</v>
      </c>
      <c r="U87" s="210">
        <v>48265</v>
      </c>
      <c r="V87" s="210"/>
      <c r="W87" s="210"/>
      <c r="X87" s="599">
        <v>4.8</v>
      </c>
      <c r="Y87" s="95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152"/>
      <c r="AL87" s="222">
        <f t="shared" si="67"/>
        <v>17374</v>
      </c>
      <c r="AM87" s="210">
        <v>11058</v>
      </c>
      <c r="AN87" s="210">
        <v>69864</v>
      </c>
      <c r="AO87" s="210"/>
      <c r="AP87" s="210"/>
      <c r="AQ87" s="210"/>
      <c r="AR87" s="210"/>
      <c r="AS87" s="210"/>
      <c r="AT87" s="210"/>
      <c r="AU87" s="223">
        <v>6316</v>
      </c>
      <c r="AV87" s="235">
        <v>0.4</v>
      </c>
      <c r="AW87" s="210">
        <v>1726</v>
      </c>
      <c r="AX87" s="236">
        <v>50.25</v>
      </c>
      <c r="AY87" s="236">
        <v>41.25</v>
      </c>
      <c r="AZ87" s="236">
        <v>8.5</v>
      </c>
      <c r="BA87" s="236">
        <v>14.26</v>
      </c>
      <c r="BB87" s="236">
        <v>1.86</v>
      </c>
      <c r="BC87" s="236">
        <v>16.94</v>
      </c>
      <c r="BD87" s="236">
        <v>55.58</v>
      </c>
      <c r="BE87" s="236">
        <v>8.26</v>
      </c>
      <c r="BF87" s="236">
        <v>3.1</v>
      </c>
      <c r="BG87" s="237"/>
      <c r="BH87" s="210">
        <v>48657</v>
      </c>
      <c r="BI87" s="210"/>
      <c r="BJ87" s="163"/>
      <c r="BK87" s="210">
        <v>205</v>
      </c>
      <c r="BL87" s="210"/>
      <c r="BM87" s="163"/>
      <c r="BN87" s="210">
        <v>288.3</v>
      </c>
      <c r="BO87" s="210"/>
      <c r="BP87" s="223">
        <v>288.3</v>
      </c>
      <c r="BQ87" s="251">
        <v>14.03</v>
      </c>
      <c r="BR87" s="252"/>
      <c r="BS87" s="188"/>
      <c r="BT87" s="252">
        <v>25.84</v>
      </c>
      <c r="BU87" s="252"/>
      <c r="BV87" s="188"/>
      <c r="BW87" s="252">
        <v>0</v>
      </c>
      <c r="BX87" s="252"/>
      <c r="BY87" s="188"/>
      <c r="BZ87" s="252">
        <v>5.12</v>
      </c>
      <c r="CA87" s="252"/>
      <c r="CB87" s="189"/>
      <c r="CC87" s="251">
        <v>8.4</v>
      </c>
      <c r="CD87" s="252">
        <v>4.3</v>
      </c>
      <c r="CE87" s="252">
        <v>4.4</v>
      </c>
      <c r="CF87" s="252">
        <v>12.8</v>
      </c>
      <c r="CG87" s="252">
        <v>0.02</v>
      </c>
      <c r="CH87" s="252">
        <v>0</v>
      </c>
      <c r="CI87" s="252">
        <v>0</v>
      </c>
      <c r="CJ87" s="266">
        <v>0</v>
      </c>
    </row>
    <row r="88" spans="1:88" ht="16.5" customHeight="1">
      <c r="A88" s="592"/>
      <c r="B88" s="3" t="s">
        <v>23</v>
      </c>
      <c r="C88" s="672">
        <v>5470.17</v>
      </c>
      <c r="D88" s="198">
        <v>26</v>
      </c>
      <c r="E88" s="198">
        <f t="shared" si="62"/>
        <v>777.29</v>
      </c>
      <c r="F88" s="198">
        <v>650.85</v>
      </c>
      <c r="G88" s="198">
        <v>126.44</v>
      </c>
      <c r="H88" s="198">
        <v>610</v>
      </c>
      <c r="I88" s="198"/>
      <c r="J88" s="198">
        <v>610.2</v>
      </c>
      <c r="K88" s="199"/>
      <c r="L88" s="222">
        <f t="shared" si="65"/>
        <v>5564.42</v>
      </c>
      <c r="M88" s="210">
        <v>5564.42</v>
      </c>
      <c r="N88" s="210"/>
      <c r="O88" s="210"/>
      <c r="P88" s="210">
        <v>27</v>
      </c>
      <c r="Q88" s="210">
        <f t="shared" si="66"/>
        <v>206.08962962962963</v>
      </c>
      <c r="R88" s="210"/>
      <c r="S88" s="210">
        <v>914</v>
      </c>
      <c r="T88" s="210">
        <v>4134</v>
      </c>
      <c r="U88" s="210">
        <v>34710</v>
      </c>
      <c r="V88" s="210"/>
      <c r="W88" s="210"/>
      <c r="X88" s="599">
        <v>4.9</v>
      </c>
      <c r="Y88" s="95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152"/>
      <c r="AL88" s="222">
        <f t="shared" si="67"/>
        <v>16143</v>
      </c>
      <c r="AM88" s="210">
        <v>11067</v>
      </c>
      <c r="AN88" s="210">
        <v>66280</v>
      </c>
      <c r="AO88" s="210"/>
      <c r="AP88" s="210"/>
      <c r="AQ88" s="210"/>
      <c r="AR88" s="210"/>
      <c r="AS88" s="210"/>
      <c r="AT88" s="210"/>
      <c r="AU88" s="223">
        <v>5076</v>
      </c>
      <c r="AV88" s="235">
        <v>0.46</v>
      </c>
      <c r="AW88" s="210">
        <v>1698</v>
      </c>
      <c r="AX88" s="236">
        <v>52.25</v>
      </c>
      <c r="AY88" s="236">
        <v>38.75</v>
      </c>
      <c r="AZ88" s="236">
        <v>9</v>
      </c>
      <c r="BA88" s="236">
        <v>11.99</v>
      </c>
      <c r="BB88" s="236">
        <v>4.6</v>
      </c>
      <c r="BC88" s="236">
        <v>18.81</v>
      </c>
      <c r="BD88" s="236">
        <v>53.81</v>
      </c>
      <c r="BE88" s="236">
        <v>6.41</v>
      </c>
      <c r="BF88" s="236">
        <v>4.38</v>
      </c>
      <c r="BG88" s="237"/>
      <c r="BH88" s="210">
        <v>48107</v>
      </c>
      <c r="BI88" s="210"/>
      <c r="BJ88" s="163"/>
      <c r="BK88" s="210">
        <v>207</v>
      </c>
      <c r="BL88" s="210"/>
      <c r="BM88" s="163"/>
      <c r="BN88" s="210">
        <v>241.5</v>
      </c>
      <c r="BO88" s="210"/>
      <c r="BP88" s="223">
        <v>241.5</v>
      </c>
      <c r="BQ88" s="251">
        <v>15.88</v>
      </c>
      <c r="BR88" s="252"/>
      <c r="BS88" s="188"/>
      <c r="BT88" s="252">
        <v>27.26</v>
      </c>
      <c r="BU88" s="252"/>
      <c r="BV88" s="188"/>
      <c r="BW88" s="252">
        <v>0</v>
      </c>
      <c r="BX88" s="252"/>
      <c r="BY88" s="188"/>
      <c r="BZ88" s="252">
        <v>3.26</v>
      </c>
      <c r="CA88" s="252"/>
      <c r="CB88" s="189"/>
      <c r="CC88" s="251">
        <v>8.3</v>
      </c>
      <c r="CD88" s="252">
        <v>3.1</v>
      </c>
      <c r="CE88" s="252">
        <v>3.7</v>
      </c>
      <c r="CF88" s="252">
        <v>9.7</v>
      </c>
      <c r="CG88" s="252">
        <v>0</v>
      </c>
      <c r="CH88" s="252">
        <v>0</v>
      </c>
      <c r="CI88" s="252">
        <v>0</v>
      </c>
      <c r="CJ88" s="266">
        <v>0</v>
      </c>
    </row>
    <row r="89" spans="1:88" ht="16.5" customHeight="1">
      <c r="A89" s="592"/>
      <c r="B89" s="3" t="s">
        <v>24</v>
      </c>
      <c r="C89" s="672">
        <v>3428.79</v>
      </c>
      <c r="D89" s="198">
        <v>15</v>
      </c>
      <c r="E89" s="198">
        <f t="shared" si="62"/>
        <v>571.6800000000001</v>
      </c>
      <c r="F89" s="198">
        <v>501.22</v>
      </c>
      <c r="G89" s="198">
        <v>70.46</v>
      </c>
      <c r="H89" s="198">
        <v>616</v>
      </c>
      <c r="I89" s="198"/>
      <c r="J89" s="198">
        <v>615.8</v>
      </c>
      <c r="K89" s="199"/>
      <c r="L89" s="222">
        <f t="shared" si="65"/>
        <v>2132.48</v>
      </c>
      <c r="M89" s="210">
        <v>2132.48</v>
      </c>
      <c r="N89" s="210"/>
      <c r="O89" s="210"/>
      <c r="P89" s="210">
        <v>12</v>
      </c>
      <c r="Q89" s="210">
        <f t="shared" si="66"/>
        <v>177.70666666666668</v>
      </c>
      <c r="R89" s="210"/>
      <c r="S89" s="210">
        <v>904</v>
      </c>
      <c r="T89" s="210">
        <v>11922</v>
      </c>
      <c r="U89" s="210">
        <v>18734</v>
      </c>
      <c r="V89" s="210"/>
      <c r="W89" s="210"/>
      <c r="X89" s="599"/>
      <c r="Y89" s="95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152"/>
      <c r="AL89" s="222">
        <f t="shared" si="67"/>
        <v>8264</v>
      </c>
      <c r="AM89" s="210">
        <v>3980</v>
      </c>
      <c r="AN89" s="210">
        <v>26108</v>
      </c>
      <c r="AO89" s="210"/>
      <c r="AP89" s="210"/>
      <c r="AQ89" s="210"/>
      <c r="AR89" s="210"/>
      <c r="AS89" s="210"/>
      <c r="AT89" s="210"/>
      <c r="AU89" s="223">
        <v>4284</v>
      </c>
      <c r="AV89" s="235"/>
      <c r="AW89" s="210"/>
      <c r="AX89" s="236"/>
      <c r="AY89" s="236"/>
      <c r="AZ89" s="236"/>
      <c r="BA89" s="236"/>
      <c r="BB89" s="236"/>
      <c r="BC89" s="236"/>
      <c r="BD89" s="236"/>
      <c r="BE89" s="236"/>
      <c r="BF89" s="236"/>
      <c r="BG89" s="237"/>
      <c r="BH89" s="210">
        <v>19120</v>
      </c>
      <c r="BI89" s="210"/>
      <c r="BJ89" s="163"/>
      <c r="BK89" s="210">
        <v>206</v>
      </c>
      <c r="BL89" s="210"/>
      <c r="BM89" s="163"/>
      <c r="BN89" s="210">
        <v>142.8</v>
      </c>
      <c r="BO89" s="210"/>
      <c r="BP89" s="223">
        <v>142.8</v>
      </c>
      <c r="BQ89" s="251">
        <v>16.7</v>
      </c>
      <c r="BR89" s="252"/>
      <c r="BS89" s="188"/>
      <c r="BT89" s="252">
        <v>31.58</v>
      </c>
      <c r="BU89" s="252"/>
      <c r="BV89" s="188"/>
      <c r="BW89" s="252">
        <v>0.44</v>
      </c>
      <c r="BX89" s="252"/>
      <c r="BY89" s="188"/>
      <c r="BZ89" s="252">
        <v>2.68</v>
      </c>
      <c r="CA89" s="252"/>
      <c r="CB89" s="189"/>
      <c r="CC89" s="251">
        <v>8.3</v>
      </c>
      <c r="CD89" s="252">
        <v>2.7</v>
      </c>
      <c r="CE89" s="252">
        <v>3.8</v>
      </c>
      <c r="CF89" s="252">
        <v>2.8</v>
      </c>
      <c r="CG89" s="252">
        <v>0.02</v>
      </c>
      <c r="CH89" s="252">
        <v>0</v>
      </c>
      <c r="CI89" s="252">
        <v>0</v>
      </c>
      <c r="CJ89" s="266">
        <v>0</v>
      </c>
    </row>
    <row r="90" spans="1:88" ht="16.5" customHeight="1">
      <c r="A90" s="592"/>
      <c r="B90" s="3" t="s">
        <v>25</v>
      </c>
      <c r="C90" s="672">
        <v>6215.36</v>
      </c>
      <c r="D90" s="198">
        <v>26</v>
      </c>
      <c r="E90" s="198">
        <f t="shared" si="62"/>
        <v>527.71</v>
      </c>
      <c r="F90" s="198">
        <v>414.24</v>
      </c>
      <c r="G90" s="198">
        <v>113.47</v>
      </c>
      <c r="H90" s="198">
        <v>910</v>
      </c>
      <c r="I90" s="198"/>
      <c r="J90" s="198">
        <v>910</v>
      </c>
      <c r="K90" s="199"/>
      <c r="L90" s="222">
        <f t="shared" si="65"/>
        <v>5511.47</v>
      </c>
      <c r="M90" s="210">
        <v>5511.47</v>
      </c>
      <c r="N90" s="210"/>
      <c r="O90" s="210"/>
      <c r="P90" s="210">
        <v>31</v>
      </c>
      <c r="Q90" s="210">
        <f t="shared" si="66"/>
        <v>177.7893548387097</v>
      </c>
      <c r="R90" s="210"/>
      <c r="S90" s="210">
        <v>958</v>
      </c>
      <c r="T90" s="210">
        <v>7761</v>
      </c>
      <c r="U90" s="210">
        <v>42918</v>
      </c>
      <c r="V90" s="210"/>
      <c r="W90" s="210"/>
      <c r="X90" s="599">
        <v>5.4</v>
      </c>
      <c r="Y90" s="95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152"/>
      <c r="AL90" s="222">
        <f t="shared" si="67"/>
        <v>15587</v>
      </c>
      <c r="AM90" s="210">
        <v>9688</v>
      </c>
      <c r="AN90" s="210">
        <v>63533</v>
      </c>
      <c r="AO90" s="210"/>
      <c r="AP90" s="210"/>
      <c r="AQ90" s="210"/>
      <c r="AR90" s="210"/>
      <c r="AS90" s="210"/>
      <c r="AT90" s="210"/>
      <c r="AU90" s="223">
        <v>5899</v>
      </c>
      <c r="AV90" s="235">
        <v>0.49</v>
      </c>
      <c r="AW90" s="210">
        <v>1683</v>
      </c>
      <c r="AX90" s="236">
        <v>52.75</v>
      </c>
      <c r="AY90" s="236">
        <v>39</v>
      </c>
      <c r="AZ90" s="236">
        <v>8.25</v>
      </c>
      <c r="BA90" s="236">
        <v>12.11</v>
      </c>
      <c r="BB90" s="236">
        <v>3.47</v>
      </c>
      <c r="BC90" s="236">
        <v>24.35</v>
      </c>
      <c r="BD90" s="236">
        <v>53.03</v>
      </c>
      <c r="BE90" s="236">
        <v>3.16</v>
      </c>
      <c r="BF90" s="236">
        <v>3.88</v>
      </c>
      <c r="BG90" s="237"/>
      <c r="BH90" s="210">
        <v>51816</v>
      </c>
      <c r="BI90" s="210"/>
      <c r="BJ90" s="163"/>
      <c r="BK90" s="210">
        <v>206</v>
      </c>
      <c r="BL90" s="210"/>
      <c r="BM90" s="163"/>
      <c r="BN90" s="210">
        <v>227.9</v>
      </c>
      <c r="BO90" s="210"/>
      <c r="BP90" s="223">
        <v>227.9</v>
      </c>
      <c r="BQ90" s="251">
        <v>16.59</v>
      </c>
      <c r="BR90" s="252"/>
      <c r="BS90" s="188"/>
      <c r="BT90" s="252">
        <v>30.78</v>
      </c>
      <c r="BU90" s="252"/>
      <c r="BV90" s="188"/>
      <c r="BW90" s="252">
        <v>1.54</v>
      </c>
      <c r="BX90" s="252"/>
      <c r="BY90" s="188"/>
      <c r="BZ90" s="252">
        <v>3.39</v>
      </c>
      <c r="CA90" s="252"/>
      <c r="CB90" s="189"/>
      <c r="CC90" s="251">
        <v>8.2</v>
      </c>
      <c r="CD90" s="252">
        <v>1.3</v>
      </c>
      <c r="CE90" s="252">
        <v>3.5</v>
      </c>
      <c r="CF90" s="252">
        <v>2.6</v>
      </c>
      <c r="CG90" s="252">
        <v>0.01</v>
      </c>
      <c r="CH90" s="252">
        <v>0.1</v>
      </c>
      <c r="CI90" s="252">
        <v>0</v>
      </c>
      <c r="CJ90" s="266">
        <v>0</v>
      </c>
    </row>
    <row r="91" spans="1:88" ht="16.5" customHeight="1">
      <c r="A91" s="592"/>
      <c r="B91" s="3" t="s">
        <v>26</v>
      </c>
      <c r="C91" s="672">
        <v>7211.24</v>
      </c>
      <c r="D91" s="198">
        <v>31</v>
      </c>
      <c r="E91" s="198">
        <f t="shared" si="62"/>
        <v>781.29</v>
      </c>
      <c r="F91" s="198">
        <v>691.28</v>
      </c>
      <c r="G91" s="198">
        <v>90.01</v>
      </c>
      <c r="H91" s="198">
        <v>1499</v>
      </c>
      <c r="I91" s="198"/>
      <c r="J91" s="198">
        <v>1499.46</v>
      </c>
      <c r="K91" s="199"/>
      <c r="L91" s="222">
        <f t="shared" si="65"/>
        <v>5792.13</v>
      </c>
      <c r="M91" s="210">
        <v>5792.13</v>
      </c>
      <c r="N91" s="210"/>
      <c r="O91" s="210"/>
      <c r="P91" s="210">
        <v>31</v>
      </c>
      <c r="Q91" s="210">
        <f t="shared" si="66"/>
        <v>186.84290322580645</v>
      </c>
      <c r="R91" s="210"/>
      <c r="S91" s="210">
        <v>971</v>
      </c>
      <c r="T91" s="210"/>
      <c r="U91" s="210">
        <v>44409</v>
      </c>
      <c r="V91" s="210"/>
      <c r="W91" s="210"/>
      <c r="X91" s="599">
        <v>5.1</v>
      </c>
      <c r="Y91" s="95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152"/>
      <c r="AL91" s="222">
        <f t="shared" si="67"/>
        <v>16518</v>
      </c>
      <c r="AM91" s="210">
        <v>10604</v>
      </c>
      <c r="AN91" s="210">
        <v>68713</v>
      </c>
      <c r="AO91" s="210"/>
      <c r="AP91" s="210"/>
      <c r="AQ91" s="210"/>
      <c r="AR91" s="210"/>
      <c r="AS91" s="210"/>
      <c r="AT91" s="210"/>
      <c r="AU91" s="223">
        <v>5914</v>
      </c>
      <c r="AV91" s="235">
        <v>0.47</v>
      </c>
      <c r="AW91" s="210">
        <v>1692</v>
      </c>
      <c r="AX91" s="236">
        <v>56.25</v>
      </c>
      <c r="AY91" s="236">
        <v>36.25</v>
      </c>
      <c r="AZ91" s="236">
        <v>7.5</v>
      </c>
      <c r="BA91" s="236">
        <v>11.48</v>
      </c>
      <c r="BB91" s="236">
        <v>5.46</v>
      </c>
      <c r="BC91" s="236">
        <v>21.71</v>
      </c>
      <c r="BD91" s="236">
        <v>51.67</v>
      </c>
      <c r="BE91" s="236">
        <v>4.36</v>
      </c>
      <c r="BF91" s="236">
        <v>5.32</v>
      </c>
      <c r="BG91" s="237"/>
      <c r="BH91" s="210">
        <v>61400</v>
      </c>
      <c r="BI91" s="210"/>
      <c r="BJ91" s="163"/>
      <c r="BK91" s="210">
        <v>206</v>
      </c>
      <c r="BL91" s="210"/>
      <c r="BM91" s="163"/>
      <c r="BN91" s="210">
        <v>205.5</v>
      </c>
      <c r="BO91" s="210"/>
      <c r="BP91" s="223">
        <v>205.5</v>
      </c>
      <c r="BQ91" s="251">
        <v>10.16</v>
      </c>
      <c r="BR91" s="252"/>
      <c r="BS91" s="188"/>
      <c r="BT91" s="252">
        <v>30.56</v>
      </c>
      <c r="BU91" s="252"/>
      <c r="BV91" s="188"/>
      <c r="BW91" s="252">
        <v>0.64</v>
      </c>
      <c r="BX91" s="252"/>
      <c r="BY91" s="188"/>
      <c r="BZ91" s="252">
        <v>5.17</v>
      </c>
      <c r="CA91" s="252"/>
      <c r="CB91" s="189"/>
      <c r="CC91" s="251">
        <v>8.4</v>
      </c>
      <c r="CD91" s="252">
        <v>17.2</v>
      </c>
      <c r="CE91" s="252">
        <v>21.7</v>
      </c>
      <c r="CF91" s="252">
        <v>21.1</v>
      </c>
      <c r="CG91" s="252">
        <v>0</v>
      </c>
      <c r="CH91" s="252">
        <v>0</v>
      </c>
      <c r="CI91" s="252">
        <v>0</v>
      </c>
      <c r="CJ91" s="266">
        <v>0</v>
      </c>
    </row>
    <row r="92" spans="1:88" ht="16.5" customHeight="1">
      <c r="A92" s="592"/>
      <c r="B92" s="3" t="s">
        <v>27</v>
      </c>
      <c r="C92" s="672">
        <v>2718.9</v>
      </c>
      <c r="D92" s="198">
        <v>15</v>
      </c>
      <c r="E92" s="198">
        <f t="shared" si="62"/>
        <v>542.14</v>
      </c>
      <c r="F92" s="198">
        <v>490.57</v>
      </c>
      <c r="G92" s="198">
        <v>51.57</v>
      </c>
      <c r="H92" s="198">
        <v>546</v>
      </c>
      <c r="I92" s="198"/>
      <c r="J92" s="198">
        <v>546</v>
      </c>
      <c r="K92" s="199"/>
      <c r="L92" s="222">
        <f t="shared" si="65"/>
        <v>2428.37</v>
      </c>
      <c r="M92" s="210">
        <v>2428.37</v>
      </c>
      <c r="N92" s="210"/>
      <c r="O92" s="210"/>
      <c r="P92" s="210">
        <v>14</v>
      </c>
      <c r="Q92" s="210">
        <f t="shared" si="66"/>
        <v>173.45499999999998</v>
      </c>
      <c r="R92" s="210"/>
      <c r="S92" s="210">
        <v>893</v>
      </c>
      <c r="T92" s="210"/>
      <c r="U92" s="210">
        <v>24138</v>
      </c>
      <c r="V92" s="210"/>
      <c r="W92" s="210"/>
      <c r="X92" s="599">
        <v>4.9</v>
      </c>
      <c r="Y92" s="95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152"/>
      <c r="AL92" s="222">
        <f t="shared" si="67"/>
        <v>6613</v>
      </c>
      <c r="AM92" s="210">
        <v>3076</v>
      </c>
      <c r="AN92" s="210">
        <v>19923</v>
      </c>
      <c r="AO92" s="210"/>
      <c r="AP92" s="210"/>
      <c r="AQ92" s="210"/>
      <c r="AR92" s="210"/>
      <c r="AS92" s="210"/>
      <c r="AT92" s="210"/>
      <c r="AU92" s="223">
        <v>3537</v>
      </c>
      <c r="AV92" s="235">
        <v>0.45</v>
      </c>
      <c r="AW92" s="210">
        <v>1680</v>
      </c>
      <c r="AX92" s="236">
        <v>49</v>
      </c>
      <c r="AY92" s="236">
        <v>43.25</v>
      </c>
      <c r="AZ92" s="236">
        <v>7.75</v>
      </c>
      <c r="BA92" s="236">
        <v>12.1</v>
      </c>
      <c r="BB92" s="236">
        <v>4.16</v>
      </c>
      <c r="BC92" s="236">
        <v>25.24</v>
      </c>
      <c r="BD92" s="236">
        <v>51.54</v>
      </c>
      <c r="BE92" s="236">
        <v>3.3</v>
      </c>
      <c r="BF92" s="236">
        <v>3.66</v>
      </c>
      <c r="BG92" s="237"/>
      <c r="BH92" s="210">
        <v>60567</v>
      </c>
      <c r="BI92" s="210"/>
      <c r="BJ92" s="163"/>
      <c r="BK92" s="210">
        <v>206</v>
      </c>
      <c r="BL92" s="210"/>
      <c r="BM92" s="163"/>
      <c r="BN92" s="210">
        <v>149.7</v>
      </c>
      <c r="BO92" s="210"/>
      <c r="BP92" s="223">
        <v>149.7</v>
      </c>
      <c r="BQ92" s="251">
        <v>13.52</v>
      </c>
      <c r="BR92" s="252"/>
      <c r="BS92" s="188"/>
      <c r="BT92" s="252">
        <v>30.44</v>
      </c>
      <c r="BU92" s="252"/>
      <c r="BV92" s="188"/>
      <c r="BW92" s="252">
        <v>0.83</v>
      </c>
      <c r="BX92" s="252"/>
      <c r="BY92" s="188"/>
      <c r="BZ92" s="252">
        <v>6.7</v>
      </c>
      <c r="CA92" s="252"/>
      <c r="CB92" s="189"/>
      <c r="CC92" s="251">
        <v>8.3</v>
      </c>
      <c r="CD92" s="252">
        <v>1.9</v>
      </c>
      <c r="CE92" s="252">
        <v>4.9</v>
      </c>
      <c r="CF92" s="252">
        <v>1.8</v>
      </c>
      <c r="CG92" s="252">
        <v>0.01</v>
      </c>
      <c r="CH92" s="252">
        <v>0.08</v>
      </c>
      <c r="CI92" s="252">
        <v>0</v>
      </c>
      <c r="CJ92" s="266">
        <v>0</v>
      </c>
    </row>
    <row r="93" spans="1:88" ht="16.5" customHeight="1">
      <c r="A93" s="592"/>
      <c r="B93" s="3" t="s">
        <v>28</v>
      </c>
      <c r="C93" s="672">
        <v>5450.76</v>
      </c>
      <c r="D93" s="198">
        <v>31</v>
      </c>
      <c r="E93" s="198">
        <f t="shared" si="62"/>
        <v>986.1099999999999</v>
      </c>
      <c r="F93" s="198">
        <v>887.67</v>
      </c>
      <c r="G93" s="198">
        <v>98.44</v>
      </c>
      <c r="H93" s="198">
        <v>518</v>
      </c>
      <c r="I93" s="198"/>
      <c r="J93" s="198">
        <v>518</v>
      </c>
      <c r="K93" s="199"/>
      <c r="L93" s="222">
        <f t="shared" si="65"/>
        <v>5996.21</v>
      </c>
      <c r="M93" s="210">
        <v>5996.21</v>
      </c>
      <c r="N93" s="210"/>
      <c r="O93" s="210"/>
      <c r="P93" s="210">
        <v>31</v>
      </c>
      <c r="Q93" s="210">
        <f t="shared" si="66"/>
        <v>193.42612903225807</v>
      </c>
      <c r="R93" s="210"/>
      <c r="S93" s="210">
        <v>973</v>
      </c>
      <c r="T93" s="210">
        <v>6856</v>
      </c>
      <c r="U93" s="210">
        <v>61146</v>
      </c>
      <c r="V93" s="210"/>
      <c r="W93" s="210"/>
      <c r="X93" s="599">
        <v>4.8</v>
      </c>
      <c r="Y93" s="95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152"/>
      <c r="AL93" s="222">
        <f t="shared" si="67"/>
        <v>17149</v>
      </c>
      <c r="AM93" s="210">
        <v>10923</v>
      </c>
      <c r="AN93" s="210">
        <v>73347</v>
      </c>
      <c r="AO93" s="210"/>
      <c r="AP93" s="210"/>
      <c r="AQ93" s="210"/>
      <c r="AR93" s="210"/>
      <c r="AS93" s="210"/>
      <c r="AT93" s="210"/>
      <c r="AU93" s="223">
        <v>6226</v>
      </c>
      <c r="AV93" s="235">
        <v>0.42</v>
      </c>
      <c r="AW93" s="210">
        <v>1680</v>
      </c>
      <c r="AX93" s="236">
        <v>42</v>
      </c>
      <c r="AY93" s="236">
        <v>51</v>
      </c>
      <c r="AZ93" s="236">
        <v>7</v>
      </c>
      <c r="BA93" s="236">
        <v>13</v>
      </c>
      <c r="BB93" s="236">
        <v>7.79</v>
      </c>
      <c r="BC93" s="236">
        <v>26.8</v>
      </c>
      <c r="BD93" s="236">
        <v>45.61</v>
      </c>
      <c r="BE93" s="236">
        <v>3.36</v>
      </c>
      <c r="BF93" s="236">
        <v>3.44</v>
      </c>
      <c r="BG93" s="237"/>
      <c r="BH93" s="210">
        <v>55954</v>
      </c>
      <c r="BI93" s="210"/>
      <c r="BJ93" s="163"/>
      <c r="BK93" s="210">
        <v>206</v>
      </c>
      <c r="BL93" s="210"/>
      <c r="BM93" s="163"/>
      <c r="BN93" s="210">
        <v>178.4</v>
      </c>
      <c r="BO93" s="210"/>
      <c r="BP93" s="223">
        <v>178.4</v>
      </c>
      <c r="BQ93" s="251">
        <v>13.02</v>
      </c>
      <c r="BR93" s="252"/>
      <c r="BS93" s="188"/>
      <c r="BT93" s="252">
        <v>30.61</v>
      </c>
      <c r="BU93" s="252"/>
      <c r="BV93" s="188"/>
      <c r="BW93" s="252">
        <v>0.8</v>
      </c>
      <c r="BX93" s="252"/>
      <c r="BY93" s="188"/>
      <c r="BZ93" s="252">
        <v>9.42</v>
      </c>
      <c r="CA93" s="252"/>
      <c r="CB93" s="189"/>
      <c r="CC93" s="251">
        <v>8.4</v>
      </c>
      <c r="CD93" s="252">
        <v>1.3</v>
      </c>
      <c r="CE93" s="252">
        <v>3</v>
      </c>
      <c r="CF93" s="252">
        <v>18.1</v>
      </c>
      <c r="CG93" s="252">
        <v>0.01</v>
      </c>
      <c r="CH93" s="252">
        <v>0.14</v>
      </c>
      <c r="CI93" s="252">
        <v>0</v>
      </c>
      <c r="CJ93" s="266">
        <v>0</v>
      </c>
    </row>
    <row r="94" spans="1:88" ht="16.5" customHeight="1">
      <c r="A94" s="592"/>
      <c r="B94" s="3" t="s">
        <v>29</v>
      </c>
      <c r="C94" s="672">
        <v>5726.3</v>
      </c>
      <c r="D94" s="198">
        <v>30</v>
      </c>
      <c r="E94" s="198">
        <f t="shared" si="62"/>
        <v>862.14</v>
      </c>
      <c r="F94" s="198">
        <v>737.22</v>
      </c>
      <c r="G94" s="198">
        <v>124.92</v>
      </c>
      <c r="H94" s="198">
        <v>350</v>
      </c>
      <c r="I94" s="198"/>
      <c r="J94" s="198">
        <v>350</v>
      </c>
      <c r="K94" s="199"/>
      <c r="L94" s="222">
        <f t="shared" si="65"/>
        <v>6015.31</v>
      </c>
      <c r="M94" s="210">
        <v>6015.31</v>
      </c>
      <c r="N94" s="210"/>
      <c r="O94" s="210"/>
      <c r="P94" s="210">
        <v>30</v>
      </c>
      <c r="Q94" s="210">
        <f t="shared" si="66"/>
        <v>200.51033333333334</v>
      </c>
      <c r="R94" s="210"/>
      <c r="S94" s="210">
        <v>953</v>
      </c>
      <c r="T94" s="210">
        <v>2230</v>
      </c>
      <c r="U94" s="210">
        <v>52957</v>
      </c>
      <c r="V94" s="210"/>
      <c r="W94" s="210"/>
      <c r="X94" s="599">
        <v>5</v>
      </c>
      <c r="Y94" s="95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152"/>
      <c r="AL94" s="222">
        <f t="shared" si="67"/>
        <v>15554</v>
      </c>
      <c r="AM94" s="210">
        <v>9509</v>
      </c>
      <c r="AN94" s="210">
        <v>65241</v>
      </c>
      <c r="AO94" s="210"/>
      <c r="AP94" s="210"/>
      <c r="AQ94" s="210"/>
      <c r="AR94" s="210"/>
      <c r="AS94" s="210"/>
      <c r="AT94" s="210"/>
      <c r="AU94" s="223">
        <v>6045</v>
      </c>
      <c r="AV94" s="235">
        <v>0.44</v>
      </c>
      <c r="AW94" s="210">
        <v>1554</v>
      </c>
      <c r="AX94" s="236">
        <v>43</v>
      </c>
      <c r="AY94" s="236">
        <v>50.25</v>
      </c>
      <c r="AZ94" s="236">
        <v>6.75</v>
      </c>
      <c r="BA94" s="236">
        <v>12.04</v>
      </c>
      <c r="BB94" s="236">
        <v>8.16</v>
      </c>
      <c r="BC94" s="236">
        <v>24.56</v>
      </c>
      <c r="BD94" s="236">
        <v>47.53</v>
      </c>
      <c r="BE94" s="236">
        <v>4.37</v>
      </c>
      <c r="BF94" s="236">
        <v>3.34</v>
      </c>
      <c r="BG94" s="237"/>
      <c r="BH94" s="210">
        <v>50799</v>
      </c>
      <c r="BI94" s="210"/>
      <c r="BJ94" s="163"/>
      <c r="BK94" s="210">
        <v>206</v>
      </c>
      <c r="BL94" s="210"/>
      <c r="BM94" s="163"/>
      <c r="BN94" s="210">
        <v>289.7</v>
      </c>
      <c r="BO94" s="210"/>
      <c r="BP94" s="223">
        <v>289.7</v>
      </c>
      <c r="BQ94" s="251">
        <v>10.37</v>
      </c>
      <c r="BR94" s="252"/>
      <c r="BS94" s="188"/>
      <c r="BT94" s="252">
        <v>30.35</v>
      </c>
      <c r="BU94" s="252"/>
      <c r="BV94" s="188"/>
      <c r="BW94" s="252">
        <v>0.64</v>
      </c>
      <c r="BX94" s="252"/>
      <c r="BY94" s="188"/>
      <c r="BZ94" s="252">
        <v>6.96</v>
      </c>
      <c r="CA94" s="252"/>
      <c r="CB94" s="189"/>
      <c r="CC94" s="251">
        <v>7.6</v>
      </c>
      <c r="CD94" s="252">
        <v>1.7</v>
      </c>
      <c r="CE94" s="252">
        <v>2.8</v>
      </c>
      <c r="CF94" s="252">
        <v>3.1</v>
      </c>
      <c r="CG94" s="252">
        <v>0</v>
      </c>
      <c r="CH94" s="252">
        <v>0.06</v>
      </c>
      <c r="CI94" s="252">
        <v>0</v>
      </c>
      <c r="CJ94" s="266">
        <v>0</v>
      </c>
    </row>
    <row r="95" spans="1:88" ht="16.5" customHeight="1">
      <c r="A95" s="592"/>
      <c r="B95" s="3" t="s">
        <v>30</v>
      </c>
      <c r="C95" s="672">
        <v>5608.39</v>
      </c>
      <c r="D95" s="198">
        <v>31</v>
      </c>
      <c r="E95" s="198">
        <f t="shared" si="62"/>
        <v>614.87</v>
      </c>
      <c r="F95" s="198">
        <v>500.52</v>
      </c>
      <c r="G95" s="198">
        <v>114.35</v>
      </c>
      <c r="H95" s="198">
        <v>406</v>
      </c>
      <c r="I95" s="198"/>
      <c r="J95" s="198">
        <v>406</v>
      </c>
      <c r="K95" s="199"/>
      <c r="L95" s="222">
        <f t="shared" si="65"/>
        <v>5225.11</v>
      </c>
      <c r="M95" s="210">
        <v>5225.11</v>
      </c>
      <c r="N95" s="210"/>
      <c r="O95" s="210"/>
      <c r="P95" s="210">
        <v>28</v>
      </c>
      <c r="Q95" s="210">
        <f t="shared" si="66"/>
        <v>186.61107142857142</v>
      </c>
      <c r="R95" s="210"/>
      <c r="S95" s="210">
        <v>898</v>
      </c>
      <c r="T95" s="210">
        <v>8307</v>
      </c>
      <c r="U95" s="210">
        <v>25957</v>
      </c>
      <c r="V95" s="210"/>
      <c r="W95" s="210"/>
      <c r="X95" s="599">
        <v>4.8</v>
      </c>
      <c r="Y95" s="95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152"/>
      <c r="AL95" s="222">
        <f t="shared" si="67"/>
        <v>14245</v>
      </c>
      <c r="AM95" s="210">
        <v>8441</v>
      </c>
      <c r="AN95" s="210">
        <v>57913</v>
      </c>
      <c r="AO95" s="210"/>
      <c r="AP95" s="210"/>
      <c r="AQ95" s="210"/>
      <c r="AR95" s="210"/>
      <c r="AS95" s="210"/>
      <c r="AT95" s="210"/>
      <c r="AU95" s="223">
        <v>5804</v>
      </c>
      <c r="AV95" s="235">
        <v>0.38</v>
      </c>
      <c r="AW95" s="210">
        <v>1577</v>
      </c>
      <c r="AX95" s="236">
        <v>42.75</v>
      </c>
      <c r="AY95" s="236">
        <v>51.5</v>
      </c>
      <c r="AZ95" s="236">
        <v>5.75</v>
      </c>
      <c r="BA95" s="236">
        <v>14.59</v>
      </c>
      <c r="BB95" s="236">
        <v>6.1</v>
      </c>
      <c r="BC95" s="236">
        <v>15.69</v>
      </c>
      <c r="BD95" s="236">
        <v>61.66</v>
      </c>
      <c r="BE95" s="236">
        <v>1.09</v>
      </c>
      <c r="BF95" s="236">
        <v>0.87</v>
      </c>
      <c r="BG95" s="237"/>
      <c r="BH95" s="210">
        <v>46267</v>
      </c>
      <c r="BI95" s="210"/>
      <c r="BJ95" s="163"/>
      <c r="BK95" s="210">
        <v>208</v>
      </c>
      <c r="BL95" s="210"/>
      <c r="BM95" s="163"/>
      <c r="BN95" s="210">
        <v>258.1</v>
      </c>
      <c r="BO95" s="210"/>
      <c r="BP95" s="223">
        <v>258.1</v>
      </c>
      <c r="BQ95" s="251">
        <v>12.6</v>
      </c>
      <c r="BR95" s="252"/>
      <c r="BS95" s="188"/>
      <c r="BT95" s="252">
        <v>30.61</v>
      </c>
      <c r="BU95" s="252"/>
      <c r="BV95" s="188"/>
      <c r="BW95" s="252">
        <v>1.5</v>
      </c>
      <c r="BX95" s="252"/>
      <c r="BY95" s="188"/>
      <c r="BZ95" s="252">
        <v>7.08</v>
      </c>
      <c r="CA95" s="252"/>
      <c r="CB95" s="189"/>
      <c r="CC95" s="251">
        <v>8.5</v>
      </c>
      <c r="CD95" s="252">
        <v>1.3</v>
      </c>
      <c r="CE95" s="252">
        <v>2.7</v>
      </c>
      <c r="CF95" s="252">
        <v>4.9</v>
      </c>
      <c r="CG95" s="252">
        <v>0</v>
      </c>
      <c r="CH95" s="252">
        <v>0.29</v>
      </c>
      <c r="CI95" s="252">
        <v>0</v>
      </c>
      <c r="CJ95" s="266">
        <v>0</v>
      </c>
    </row>
    <row r="96" spans="1:88" ht="16.5" customHeight="1">
      <c r="A96" s="478" t="s">
        <v>39</v>
      </c>
      <c r="B96" s="10" t="s">
        <v>48</v>
      </c>
      <c r="C96" s="673">
        <f>SUM(C97:C108)</f>
        <v>52643.87999999999</v>
      </c>
      <c r="D96" s="200">
        <f>SUM(D97:D108)</f>
        <v>297</v>
      </c>
      <c r="E96" s="676">
        <f t="shared" si="62"/>
        <v>11756.380000000001</v>
      </c>
      <c r="F96" s="200">
        <f>SUM(F97:F108)</f>
        <v>10447.53</v>
      </c>
      <c r="G96" s="200">
        <f>SUM(G97:G108)</f>
        <v>1308.85</v>
      </c>
      <c r="H96" s="200">
        <f>SUM(H97:H108)</f>
        <v>385</v>
      </c>
      <c r="I96" s="200">
        <f>SUM(I97:I108)</f>
        <v>385</v>
      </c>
      <c r="J96" s="201"/>
      <c r="K96" s="202"/>
      <c r="L96" s="600">
        <f>SUM(L97:L108)</f>
        <v>53016.34</v>
      </c>
      <c r="M96" s="201">
        <f>SUM(M97:M108)</f>
        <v>52641.369999999995</v>
      </c>
      <c r="N96" s="201">
        <f>SUM(N97:N108)</f>
        <v>374.97</v>
      </c>
      <c r="O96" s="201"/>
      <c r="P96" s="201">
        <f>SUM(P97:P108)</f>
        <v>300.275</v>
      </c>
      <c r="Q96" s="201">
        <f>SUM(Q97:Q108)/12</f>
        <v>175.11282959702405</v>
      </c>
      <c r="R96" s="201">
        <v>93</v>
      </c>
      <c r="S96" s="201">
        <f>SUM(S97:S108)/12</f>
        <v>931.5833333333334</v>
      </c>
      <c r="T96" s="201"/>
      <c r="U96" s="201"/>
      <c r="V96" s="201">
        <f>SUM(V97:V108)</f>
        <v>50170</v>
      </c>
      <c r="W96" s="201"/>
      <c r="X96" s="299">
        <f>SUM(X97:X108)/12</f>
        <v>3.401666666666667</v>
      </c>
      <c r="Y96" s="13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215"/>
      <c r="AL96" s="138">
        <f>SUM(AL97:AL108)</f>
        <v>116156</v>
      </c>
      <c r="AM96" s="98">
        <f>SUM(AM97:AM108)</f>
        <v>82646</v>
      </c>
      <c r="AN96" s="98">
        <f>SUM(AN97:AN108)</f>
        <v>660830</v>
      </c>
      <c r="AO96" s="98"/>
      <c r="AP96" s="98"/>
      <c r="AQ96" s="98"/>
      <c r="AR96" s="98"/>
      <c r="AS96" s="98"/>
      <c r="AT96" s="98"/>
      <c r="AU96" s="224">
        <f>SUM(AU97:AU108)</f>
        <v>33510</v>
      </c>
      <c r="AV96" s="64">
        <f aca="true" t="shared" si="68" ref="AV96:BF96">SUM(AV97:AV108)/12</f>
        <v>0.2833333333333333</v>
      </c>
      <c r="AW96" s="66">
        <f t="shared" si="68"/>
        <v>1574.0833333333333</v>
      </c>
      <c r="AX96" s="58">
        <f t="shared" si="68"/>
        <v>44.18333333333334</v>
      </c>
      <c r="AY96" s="58">
        <f t="shared" si="68"/>
        <v>35.91166666666667</v>
      </c>
      <c r="AZ96" s="58">
        <f t="shared" si="68"/>
        <v>19.90666666666667</v>
      </c>
      <c r="BA96" s="58">
        <f t="shared" si="68"/>
        <v>20.45</v>
      </c>
      <c r="BB96" s="58">
        <f t="shared" si="68"/>
        <v>6.264166666666667</v>
      </c>
      <c r="BC96" s="58">
        <f t="shared" si="68"/>
        <v>19.756666666666664</v>
      </c>
      <c r="BD96" s="58">
        <f t="shared" si="68"/>
        <v>41.51916666666666</v>
      </c>
      <c r="BE96" s="58">
        <f t="shared" si="68"/>
        <v>6.361666666666667</v>
      </c>
      <c r="BF96" s="58">
        <f t="shared" si="68"/>
        <v>5.650833333333332</v>
      </c>
      <c r="BG96" s="238"/>
      <c r="BH96" s="11">
        <f>SUM(BH97:BH108)/12</f>
        <v>30263.365</v>
      </c>
      <c r="BI96" s="12"/>
      <c r="BJ96" s="12"/>
      <c r="BK96" s="12">
        <f>SUM(BK97:BK108)/12</f>
        <v>156.915</v>
      </c>
      <c r="BL96" s="12"/>
      <c r="BM96" s="12"/>
      <c r="BN96" s="12">
        <f>SUM(BN97:BN108)</f>
        <v>5620</v>
      </c>
      <c r="BO96" s="12"/>
      <c r="BP96" s="16">
        <v>5620</v>
      </c>
      <c r="BQ96" s="253">
        <f>SUM(BQ97:BQ108)/12</f>
        <v>35.439166666666665</v>
      </c>
      <c r="BR96" s="254"/>
      <c r="BS96" s="254"/>
      <c r="BT96" s="254">
        <f>SUM(BT97:BT108)/12</f>
        <v>65.08916666666666</v>
      </c>
      <c r="BU96" s="254"/>
      <c r="BV96" s="254"/>
      <c r="BW96" s="254">
        <f>SUM(BW97:BW108)/12</f>
        <v>27.001666666666665</v>
      </c>
      <c r="BX96" s="254"/>
      <c r="BY96" s="254"/>
      <c r="BZ96" s="254">
        <f>SUM(BZ97:BZ108)/12</f>
        <v>12.994166666666667</v>
      </c>
      <c r="CA96" s="254"/>
      <c r="CB96" s="255"/>
      <c r="CC96" s="267">
        <f aca="true" t="shared" si="69" ref="CC96:CI96">SUM(CC97:CC108)/12</f>
        <v>7.508333333333333</v>
      </c>
      <c r="CD96" s="74">
        <f t="shared" si="69"/>
        <v>1.9166666666666667</v>
      </c>
      <c r="CE96" s="74">
        <f t="shared" si="69"/>
        <v>2.3666666666666667</v>
      </c>
      <c r="CF96" s="74">
        <f t="shared" si="69"/>
        <v>13.391666666666666</v>
      </c>
      <c r="CG96" s="74">
        <f t="shared" si="69"/>
        <v>0.25166666666666665</v>
      </c>
      <c r="CH96" s="74">
        <f t="shared" si="69"/>
        <v>0.5791666666666667</v>
      </c>
      <c r="CI96" s="74">
        <f t="shared" si="69"/>
        <v>0</v>
      </c>
      <c r="CJ96" s="75">
        <v>0</v>
      </c>
    </row>
    <row r="97" spans="1:88" ht="16.5" customHeight="1">
      <c r="A97" s="592"/>
      <c r="B97" s="3" t="s">
        <v>19</v>
      </c>
      <c r="C97" s="674">
        <v>5664.47</v>
      </c>
      <c r="D97" s="203">
        <v>27</v>
      </c>
      <c r="E97" s="198">
        <f t="shared" si="62"/>
        <v>1069.22</v>
      </c>
      <c r="F97" s="203">
        <v>950.6</v>
      </c>
      <c r="G97" s="203">
        <v>118.62</v>
      </c>
      <c r="H97" s="203">
        <v>37</v>
      </c>
      <c r="I97" s="203">
        <v>37</v>
      </c>
      <c r="J97" s="204"/>
      <c r="K97" s="205">
        <v>0</v>
      </c>
      <c r="L97" s="601">
        <f aca="true" t="shared" si="70" ref="L97:L121">M97+N97</f>
        <v>5544.67</v>
      </c>
      <c r="M97" s="211">
        <v>5511.87</v>
      </c>
      <c r="N97" s="211">
        <v>32.8</v>
      </c>
      <c r="O97" s="211"/>
      <c r="P97" s="211">
        <v>31</v>
      </c>
      <c r="Q97" s="211">
        <v>177.8</v>
      </c>
      <c r="R97" s="212"/>
      <c r="S97" s="212">
        <v>892</v>
      </c>
      <c r="T97" s="211"/>
      <c r="U97" s="211"/>
      <c r="V97" s="211">
        <v>150</v>
      </c>
      <c r="W97" s="211"/>
      <c r="X97" s="602">
        <v>4.49</v>
      </c>
      <c r="Y97" s="95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96"/>
      <c r="AL97" s="149">
        <f aca="true" t="shared" si="71" ref="AL97:AL108">AM97+AU97</f>
        <v>9716</v>
      </c>
      <c r="AM97" s="150">
        <v>6909</v>
      </c>
      <c r="AN97" s="150">
        <v>55244</v>
      </c>
      <c r="AO97" s="150"/>
      <c r="AP97" s="150"/>
      <c r="AQ97" s="150"/>
      <c r="AR97" s="150"/>
      <c r="AS97" s="150"/>
      <c r="AT97" s="150"/>
      <c r="AU97" s="225">
        <v>2807</v>
      </c>
      <c r="AV97" s="35">
        <v>0.28</v>
      </c>
      <c r="AW97" s="67">
        <v>1416</v>
      </c>
      <c r="AX97" s="21">
        <v>47.82</v>
      </c>
      <c r="AY97" s="21">
        <v>31.58</v>
      </c>
      <c r="AZ97" s="21">
        <v>20.61</v>
      </c>
      <c r="BA97" s="21">
        <v>18.65</v>
      </c>
      <c r="BB97" s="21">
        <v>5.16</v>
      </c>
      <c r="BC97" s="21">
        <v>13.15</v>
      </c>
      <c r="BD97" s="21">
        <v>51.24</v>
      </c>
      <c r="BE97" s="21">
        <v>6.28</v>
      </c>
      <c r="BF97" s="21">
        <v>5.54</v>
      </c>
      <c r="BG97" s="239"/>
      <c r="BH97" s="115">
        <v>36667</v>
      </c>
      <c r="BI97" s="244"/>
      <c r="BJ97" s="244"/>
      <c r="BK97" s="244">
        <v>154</v>
      </c>
      <c r="BL97" s="13"/>
      <c r="BM97" s="13"/>
      <c r="BN97" s="13">
        <v>458</v>
      </c>
      <c r="BO97" s="13"/>
      <c r="BP97" s="17">
        <v>458</v>
      </c>
      <c r="BQ97" s="256">
        <v>23.89</v>
      </c>
      <c r="BR97" s="257"/>
      <c r="BS97" s="257"/>
      <c r="BT97" s="257">
        <v>56.2</v>
      </c>
      <c r="BU97" s="257"/>
      <c r="BV97" s="257"/>
      <c r="BW97" s="257">
        <v>29.3</v>
      </c>
      <c r="BX97" s="257"/>
      <c r="BY97" s="257"/>
      <c r="BZ97" s="257">
        <v>24.3</v>
      </c>
      <c r="CA97" s="257"/>
      <c r="CB97" s="258"/>
      <c r="CC97" s="268">
        <v>8.1</v>
      </c>
      <c r="CD97" s="76">
        <v>1.5</v>
      </c>
      <c r="CE97" s="76">
        <v>2.1</v>
      </c>
      <c r="CF97" s="76">
        <v>12.3</v>
      </c>
      <c r="CG97" s="76">
        <v>0.166</v>
      </c>
      <c r="CH97" s="76">
        <v>0.55</v>
      </c>
      <c r="CI97" s="76">
        <v>0</v>
      </c>
      <c r="CJ97" s="77">
        <v>0</v>
      </c>
    </row>
    <row r="98" spans="1:88" ht="16.5" customHeight="1">
      <c r="A98" s="592"/>
      <c r="B98" s="3" t="s">
        <v>20</v>
      </c>
      <c r="C98" s="674">
        <v>4948.55</v>
      </c>
      <c r="D98" s="203">
        <v>25</v>
      </c>
      <c r="E98" s="198">
        <f t="shared" si="62"/>
        <v>968.34</v>
      </c>
      <c r="F98" s="203">
        <v>871.26</v>
      </c>
      <c r="G98" s="203">
        <v>97.08</v>
      </c>
      <c r="H98" s="203">
        <v>40</v>
      </c>
      <c r="I98" s="203">
        <v>38</v>
      </c>
      <c r="J98" s="204"/>
      <c r="K98" s="205"/>
      <c r="L98" s="603">
        <f t="shared" si="70"/>
        <v>5196.79</v>
      </c>
      <c r="M98" s="204">
        <v>5163.19</v>
      </c>
      <c r="N98" s="204">
        <v>33.6</v>
      </c>
      <c r="O98" s="204"/>
      <c r="P98" s="204">
        <v>29</v>
      </c>
      <c r="Q98" s="204">
        <v>178.04</v>
      </c>
      <c r="R98" s="213"/>
      <c r="S98" s="213">
        <v>920</v>
      </c>
      <c r="T98" s="204"/>
      <c r="U98" s="204"/>
      <c r="V98" s="204">
        <v>150</v>
      </c>
      <c r="W98" s="204"/>
      <c r="X98" s="604">
        <v>3.98</v>
      </c>
      <c r="Y98" s="95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96"/>
      <c r="AL98" s="95">
        <f t="shared" si="71"/>
        <v>9558</v>
      </c>
      <c r="AM98" s="32">
        <v>6798</v>
      </c>
      <c r="AN98" s="32">
        <v>54356</v>
      </c>
      <c r="AO98" s="32"/>
      <c r="AP98" s="32"/>
      <c r="AQ98" s="32"/>
      <c r="AR98" s="32"/>
      <c r="AS98" s="32"/>
      <c r="AT98" s="32"/>
      <c r="AU98" s="226">
        <v>2760</v>
      </c>
      <c r="AV98" s="36">
        <v>0.27</v>
      </c>
      <c r="AW98" s="68">
        <v>1273</v>
      </c>
      <c r="AX98" s="22">
        <v>51.42</v>
      </c>
      <c r="AY98" s="22">
        <v>29.34</v>
      </c>
      <c r="AZ98" s="22">
        <v>19.25</v>
      </c>
      <c r="BA98" s="22">
        <v>17.93</v>
      </c>
      <c r="BB98" s="22">
        <v>4.11</v>
      </c>
      <c r="BC98" s="22">
        <v>13.64</v>
      </c>
      <c r="BD98" s="22">
        <v>55.16</v>
      </c>
      <c r="BE98" s="22">
        <v>3.38</v>
      </c>
      <c r="BF98" s="22">
        <v>5.8</v>
      </c>
      <c r="BG98" s="240"/>
      <c r="BH98" s="117">
        <v>26374</v>
      </c>
      <c r="BI98" s="136"/>
      <c r="BJ98" s="136"/>
      <c r="BK98" s="136">
        <v>158.75</v>
      </c>
      <c r="BL98" s="14"/>
      <c r="BM98" s="14"/>
      <c r="BN98" s="14">
        <v>513</v>
      </c>
      <c r="BO98" s="14"/>
      <c r="BP98" s="18">
        <v>513</v>
      </c>
      <c r="BQ98" s="259">
        <v>29.1</v>
      </c>
      <c r="BR98" s="260"/>
      <c r="BS98" s="260"/>
      <c r="BT98" s="260">
        <v>58.06</v>
      </c>
      <c r="BU98" s="260"/>
      <c r="BV98" s="260"/>
      <c r="BW98" s="260">
        <v>30.65</v>
      </c>
      <c r="BX98" s="260"/>
      <c r="BY98" s="260"/>
      <c r="BZ98" s="260">
        <v>27.78</v>
      </c>
      <c r="CA98" s="260"/>
      <c r="CB98" s="261"/>
      <c r="CC98" s="269">
        <v>7</v>
      </c>
      <c r="CD98" s="78">
        <v>1.5</v>
      </c>
      <c r="CE98" s="78">
        <v>2.2</v>
      </c>
      <c r="CF98" s="78">
        <v>13</v>
      </c>
      <c r="CG98" s="78">
        <v>0.233</v>
      </c>
      <c r="CH98" s="78">
        <v>0.65</v>
      </c>
      <c r="CI98" s="78">
        <v>0</v>
      </c>
      <c r="CJ98" s="79">
        <v>0</v>
      </c>
    </row>
    <row r="99" spans="1:88" ht="16.5" customHeight="1">
      <c r="A99" s="592"/>
      <c r="B99" s="3" t="s">
        <v>21</v>
      </c>
      <c r="C99" s="674">
        <v>3150.08</v>
      </c>
      <c r="D99" s="203">
        <v>27</v>
      </c>
      <c r="E99" s="198">
        <f t="shared" si="62"/>
        <v>734.51</v>
      </c>
      <c r="F99" s="203">
        <v>669.62</v>
      </c>
      <c r="G99" s="203">
        <v>64.89</v>
      </c>
      <c r="H99" s="203">
        <v>38</v>
      </c>
      <c r="I99" s="203">
        <v>38</v>
      </c>
      <c r="J99" s="204"/>
      <c r="K99" s="205"/>
      <c r="L99" s="603">
        <f t="shared" si="70"/>
        <v>2792.73</v>
      </c>
      <c r="M99" s="204">
        <v>2761.38</v>
      </c>
      <c r="N99" s="204">
        <v>31.35</v>
      </c>
      <c r="O99" s="204"/>
      <c r="P99" s="204">
        <v>16.083333333333332</v>
      </c>
      <c r="Q99" s="204">
        <v>173.64</v>
      </c>
      <c r="R99" s="213"/>
      <c r="S99" s="213">
        <v>946</v>
      </c>
      <c r="T99" s="204"/>
      <c r="U99" s="204"/>
      <c r="V99" s="204">
        <v>9990</v>
      </c>
      <c r="W99" s="204"/>
      <c r="X99" s="604">
        <v>3.13</v>
      </c>
      <c r="Y99" s="95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96"/>
      <c r="AL99" s="95">
        <f t="shared" si="71"/>
        <v>6421</v>
      </c>
      <c r="AM99" s="32">
        <v>4565</v>
      </c>
      <c r="AN99" s="32">
        <v>36501</v>
      </c>
      <c r="AO99" s="32"/>
      <c r="AP99" s="32"/>
      <c r="AQ99" s="32"/>
      <c r="AR99" s="32"/>
      <c r="AS99" s="32"/>
      <c r="AT99" s="32"/>
      <c r="AU99" s="226">
        <v>1856</v>
      </c>
      <c r="AV99" s="36">
        <v>0.25</v>
      </c>
      <c r="AW99" s="68">
        <v>1659</v>
      </c>
      <c r="AX99" s="22">
        <v>41.57</v>
      </c>
      <c r="AY99" s="22">
        <v>38.92</v>
      </c>
      <c r="AZ99" s="22">
        <v>19.51</v>
      </c>
      <c r="BA99" s="22">
        <v>20.08</v>
      </c>
      <c r="BB99" s="22">
        <v>6.02</v>
      </c>
      <c r="BC99" s="22">
        <v>18.47</v>
      </c>
      <c r="BD99" s="22">
        <v>44.18</v>
      </c>
      <c r="BE99" s="22">
        <v>7.23</v>
      </c>
      <c r="BF99" s="22">
        <v>4.02</v>
      </c>
      <c r="BG99" s="240"/>
      <c r="BH99" s="117">
        <v>37205</v>
      </c>
      <c r="BI99" s="136"/>
      <c r="BJ99" s="136"/>
      <c r="BK99" s="136">
        <v>156.5</v>
      </c>
      <c r="BL99" s="14"/>
      <c r="BM99" s="14"/>
      <c r="BN99" s="14">
        <v>443</v>
      </c>
      <c r="BO99" s="14"/>
      <c r="BP99" s="18">
        <v>443</v>
      </c>
      <c r="BQ99" s="259">
        <v>34</v>
      </c>
      <c r="BR99" s="260"/>
      <c r="BS99" s="260"/>
      <c r="BT99" s="260">
        <v>54.64</v>
      </c>
      <c r="BU99" s="260"/>
      <c r="BV99" s="260"/>
      <c r="BW99" s="260">
        <v>6.92</v>
      </c>
      <c r="BX99" s="260"/>
      <c r="BY99" s="260"/>
      <c r="BZ99" s="260">
        <v>21.76</v>
      </c>
      <c r="CA99" s="260"/>
      <c r="CB99" s="261"/>
      <c r="CC99" s="269">
        <v>6.6</v>
      </c>
      <c r="CD99" s="78">
        <v>1.5</v>
      </c>
      <c r="CE99" s="78">
        <v>2.2</v>
      </c>
      <c r="CF99" s="78">
        <v>13.5</v>
      </c>
      <c r="CG99" s="78">
        <v>0.266</v>
      </c>
      <c r="CH99" s="78">
        <v>0.6</v>
      </c>
      <c r="CI99" s="78">
        <v>0</v>
      </c>
      <c r="CJ99" s="79">
        <v>0</v>
      </c>
    </row>
    <row r="100" spans="1:88" ht="16.5" customHeight="1">
      <c r="A100" s="592"/>
      <c r="B100" s="3" t="s">
        <v>22</v>
      </c>
      <c r="C100" s="674">
        <v>5137.04</v>
      </c>
      <c r="D100" s="203">
        <v>25</v>
      </c>
      <c r="E100" s="198">
        <f t="shared" si="62"/>
        <v>1207.6</v>
      </c>
      <c r="F100" s="203">
        <v>1067</v>
      </c>
      <c r="G100" s="203">
        <v>140.6</v>
      </c>
      <c r="H100" s="203">
        <v>34</v>
      </c>
      <c r="I100" s="203">
        <v>34</v>
      </c>
      <c r="J100" s="204"/>
      <c r="K100" s="205"/>
      <c r="L100" s="603">
        <f t="shared" si="70"/>
        <v>5351.09</v>
      </c>
      <c r="M100" s="204">
        <v>5302.87</v>
      </c>
      <c r="N100" s="204">
        <v>48.22</v>
      </c>
      <c r="O100" s="204"/>
      <c r="P100" s="204">
        <v>28.5</v>
      </c>
      <c r="Q100" s="204">
        <v>187.75754385964908</v>
      </c>
      <c r="R100" s="213"/>
      <c r="S100" s="213">
        <v>936</v>
      </c>
      <c r="T100" s="204"/>
      <c r="U100" s="204"/>
      <c r="V100" s="204">
        <v>3310</v>
      </c>
      <c r="W100" s="204"/>
      <c r="X100" s="604">
        <v>2.47</v>
      </c>
      <c r="Y100" s="95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96"/>
      <c r="AL100" s="95">
        <f t="shared" si="71"/>
        <v>12428</v>
      </c>
      <c r="AM100" s="32">
        <v>8838</v>
      </c>
      <c r="AN100" s="32">
        <v>70668</v>
      </c>
      <c r="AO100" s="32"/>
      <c r="AP100" s="32"/>
      <c r="AQ100" s="32"/>
      <c r="AR100" s="32"/>
      <c r="AS100" s="32"/>
      <c r="AT100" s="32"/>
      <c r="AU100" s="226">
        <v>3590</v>
      </c>
      <c r="AV100" s="36">
        <v>0.24</v>
      </c>
      <c r="AW100" s="68">
        <v>1876</v>
      </c>
      <c r="AX100" s="22">
        <v>36.04</v>
      </c>
      <c r="AY100" s="22">
        <v>45.2</v>
      </c>
      <c r="AZ100" s="22">
        <v>18.76</v>
      </c>
      <c r="BA100" s="22">
        <v>20.42</v>
      </c>
      <c r="BB100" s="22">
        <v>8.33</v>
      </c>
      <c r="BC100" s="22">
        <v>27.5</v>
      </c>
      <c r="BD100" s="22">
        <v>33.33</v>
      </c>
      <c r="BE100" s="22">
        <v>6.25</v>
      </c>
      <c r="BF100" s="22">
        <v>4.17</v>
      </c>
      <c r="BG100" s="240"/>
      <c r="BH100" s="117">
        <v>28215</v>
      </c>
      <c r="BI100" s="136"/>
      <c r="BJ100" s="136"/>
      <c r="BK100" s="136">
        <v>162.25</v>
      </c>
      <c r="BL100" s="14"/>
      <c r="BM100" s="14"/>
      <c r="BN100" s="14">
        <v>714</v>
      </c>
      <c r="BO100" s="14"/>
      <c r="BP100" s="18">
        <v>714</v>
      </c>
      <c r="BQ100" s="259">
        <v>35.49</v>
      </c>
      <c r="BR100" s="260"/>
      <c r="BS100" s="260"/>
      <c r="BT100" s="260">
        <v>52.33</v>
      </c>
      <c r="BU100" s="260"/>
      <c r="BV100" s="260"/>
      <c r="BW100" s="260">
        <v>30.53</v>
      </c>
      <c r="BX100" s="260"/>
      <c r="BY100" s="260"/>
      <c r="BZ100" s="260">
        <v>11.45</v>
      </c>
      <c r="CA100" s="260"/>
      <c r="CB100" s="261"/>
      <c r="CC100" s="269">
        <v>6.7</v>
      </c>
      <c r="CD100" s="78">
        <v>2.2</v>
      </c>
      <c r="CE100" s="78">
        <v>2.7</v>
      </c>
      <c r="CF100" s="78">
        <v>15.2</v>
      </c>
      <c r="CG100" s="78">
        <v>0.2</v>
      </c>
      <c r="CH100" s="78">
        <v>0.45</v>
      </c>
      <c r="CI100" s="78">
        <v>0</v>
      </c>
      <c r="CJ100" s="79">
        <v>0</v>
      </c>
    </row>
    <row r="101" spans="1:88" ht="16.5" customHeight="1">
      <c r="A101" s="592"/>
      <c r="B101" s="3" t="s">
        <v>23</v>
      </c>
      <c r="C101" s="674">
        <v>3553.83</v>
      </c>
      <c r="D101" s="203">
        <v>19</v>
      </c>
      <c r="E101" s="198">
        <f t="shared" si="62"/>
        <v>970.3199999999999</v>
      </c>
      <c r="F101" s="203">
        <v>853.3</v>
      </c>
      <c r="G101" s="203">
        <v>117.02</v>
      </c>
      <c r="H101" s="203">
        <v>30</v>
      </c>
      <c r="I101" s="203">
        <v>38</v>
      </c>
      <c r="J101" s="204"/>
      <c r="K101" s="205"/>
      <c r="L101" s="603">
        <f t="shared" si="70"/>
        <v>3575.97</v>
      </c>
      <c r="M101" s="204">
        <v>3543.97</v>
      </c>
      <c r="N101" s="204">
        <v>32</v>
      </c>
      <c r="O101" s="204"/>
      <c r="P101" s="204">
        <v>20.25</v>
      </c>
      <c r="Q101" s="204">
        <v>175.01086419753088</v>
      </c>
      <c r="R101" s="213"/>
      <c r="S101" s="213">
        <v>994</v>
      </c>
      <c r="T101" s="204"/>
      <c r="U101" s="204"/>
      <c r="V101" s="204">
        <v>7500</v>
      </c>
      <c r="W101" s="204"/>
      <c r="X101" s="604">
        <v>3.36</v>
      </c>
      <c r="Y101" s="95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96"/>
      <c r="AL101" s="95">
        <f t="shared" si="71"/>
        <v>8292</v>
      </c>
      <c r="AM101" s="32">
        <v>5897</v>
      </c>
      <c r="AN101" s="32">
        <v>47152</v>
      </c>
      <c r="AO101" s="32"/>
      <c r="AP101" s="32"/>
      <c r="AQ101" s="32"/>
      <c r="AR101" s="32"/>
      <c r="AS101" s="32"/>
      <c r="AT101" s="32"/>
      <c r="AU101" s="226">
        <v>2395</v>
      </c>
      <c r="AV101" s="36">
        <v>0.28</v>
      </c>
      <c r="AW101" s="68">
        <v>1601</v>
      </c>
      <c r="AX101" s="22">
        <v>46.03</v>
      </c>
      <c r="AY101" s="22">
        <v>37.26</v>
      </c>
      <c r="AZ101" s="22">
        <v>16.71</v>
      </c>
      <c r="BA101" s="22">
        <v>20.22</v>
      </c>
      <c r="BB101" s="22">
        <v>6.5</v>
      </c>
      <c r="BC101" s="22">
        <v>23.1</v>
      </c>
      <c r="BD101" s="22">
        <v>37.91</v>
      </c>
      <c r="BE101" s="22">
        <v>6.86</v>
      </c>
      <c r="BF101" s="22">
        <v>5.42</v>
      </c>
      <c r="BG101" s="240"/>
      <c r="BH101" s="117">
        <v>32510</v>
      </c>
      <c r="BI101" s="136"/>
      <c r="BJ101" s="136"/>
      <c r="BK101" s="136">
        <v>158.75</v>
      </c>
      <c r="BL101" s="14"/>
      <c r="BM101" s="14"/>
      <c r="BN101" s="14">
        <v>485</v>
      </c>
      <c r="BO101" s="14"/>
      <c r="BP101" s="18">
        <v>485</v>
      </c>
      <c r="BQ101" s="259">
        <v>46.08</v>
      </c>
      <c r="BR101" s="260"/>
      <c r="BS101" s="260"/>
      <c r="BT101" s="260">
        <v>69.27</v>
      </c>
      <c r="BU101" s="260"/>
      <c r="BV101" s="260"/>
      <c r="BW101" s="260">
        <v>24.87</v>
      </c>
      <c r="BX101" s="260"/>
      <c r="BY101" s="260"/>
      <c r="BZ101" s="260">
        <v>7.45</v>
      </c>
      <c r="CA101" s="260"/>
      <c r="CB101" s="261"/>
      <c r="CC101" s="269">
        <v>6.8</v>
      </c>
      <c r="CD101" s="78">
        <v>1.7</v>
      </c>
      <c r="CE101" s="78">
        <v>2</v>
      </c>
      <c r="CF101" s="78">
        <v>12.3</v>
      </c>
      <c r="CG101" s="78">
        <v>0.225</v>
      </c>
      <c r="CH101" s="78">
        <v>0.55</v>
      </c>
      <c r="CI101" s="78">
        <v>0</v>
      </c>
      <c r="CJ101" s="79">
        <v>0</v>
      </c>
    </row>
    <row r="102" spans="1:88" ht="16.5" customHeight="1">
      <c r="A102" s="592"/>
      <c r="B102" s="3" t="s">
        <v>24</v>
      </c>
      <c r="C102" s="674">
        <v>5395.67</v>
      </c>
      <c r="D102" s="203">
        <v>27</v>
      </c>
      <c r="E102" s="198">
        <f t="shared" si="62"/>
        <v>1139.28</v>
      </c>
      <c r="F102" s="203">
        <v>1002.66</v>
      </c>
      <c r="G102" s="203">
        <v>136.62</v>
      </c>
      <c r="H102" s="203">
        <v>39</v>
      </c>
      <c r="I102" s="203">
        <v>35</v>
      </c>
      <c r="J102" s="204"/>
      <c r="K102" s="205"/>
      <c r="L102" s="603">
        <f t="shared" si="70"/>
        <v>5482.33</v>
      </c>
      <c r="M102" s="204">
        <v>5454.33</v>
      </c>
      <c r="N102" s="204">
        <v>28</v>
      </c>
      <c r="O102" s="204"/>
      <c r="P102" s="204">
        <v>29.875</v>
      </c>
      <c r="Q102" s="204">
        <v>182.5717154811715</v>
      </c>
      <c r="R102" s="213"/>
      <c r="S102" s="213">
        <v>969</v>
      </c>
      <c r="T102" s="204"/>
      <c r="U102" s="204"/>
      <c r="V102" s="204"/>
      <c r="W102" s="204"/>
      <c r="X102" s="604">
        <v>3.15</v>
      </c>
      <c r="Y102" s="95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96"/>
      <c r="AL102" s="95">
        <f t="shared" si="71"/>
        <v>11285</v>
      </c>
      <c r="AM102" s="32">
        <v>8065</v>
      </c>
      <c r="AN102" s="32">
        <v>64487</v>
      </c>
      <c r="AO102" s="32"/>
      <c r="AP102" s="32"/>
      <c r="AQ102" s="32"/>
      <c r="AR102" s="32"/>
      <c r="AS102" s="32"/>
      <c r="AT102" s="32"/>
      <c r="AU102" s="226">
        <v>3220</v>
      </c>
      <c r="AV102" s="36">
        <v>0.29</v>
      </c>
      <c r="AW102" s="68">
        <v>1492</v>
      </c>
      <c r="AX102" s="22">
        <v>49.3</v>
      </c>
      <c r="AY102" s="22">
        <v>29.58</v>
      </c>
      <c r="AZ102" s="22">
        <v>21.12</v>
      </c>
      <c r="BA102" s="22">
        <v>17.54</v>
      </c>
      <c r="BB102" s="22">
        <v>5.26</v>
      </c>
      <c r="BC102" s="22">
        <v>23.51</v>
      </c>
      <c r="BD102" s="22">
        <v>38.6</v>
      </c>
      <c r="BE102" s="22">
        <v>5.96</v>
      </c>
      <c r="BF102" s="22">
        <v>9.12</v>
      </c>
      <c r="BG102" s="240"/>
      <c r="BH102" s="117">
        <v>27656</v>
      </c>
      <c r="BI102" s="136"/>
      <c r="BJ102" s="136"/>
      <c r="BK102" s="136">
        <v>158</v>
      </c>
      <c r="BL102" s="14"/>
      <c r="BM102" s="14"/>
      <c r="BN102" s="14">
        <v>513</v>
      </c>
      <c r="BO102" s="14"/>
      <c r="BP102" s="18">
        <v>513</v>
      </c>
      <c r="BQ102" s="259">
        <v>42.35</v>
      </c>
      <c r="BR102" s="260"/>
      <c r="BS102" s="260"/>
      <c r="BT102" s="260">
        <v>74.32</v>
      </c>
      <c r="BU102" s="260"/>
      <c r="BV102" s="260"/>
      <c r="BW102" s="260">
        <v>26.19</v>
      </c>
      <c r="BX102" s="260"/>
      <c r="BY102" s="260"/>
      <c r="BZ102" s="260">
        <v>6.91</v>
      </c>
      <c r="CA102" s="260"/>
      <c r="CB102" s="261"/>
      <c r="CC102" s="269">
        <v>8.1</v>
      </c>
      <c r="CD102" s="78">
        <v>1.4</v>
      </c>
      <c r="CE102" s="78">
        <v>2.5</v>
      </c>
      <c r="CF102" s="78">
        <v>12.3</v>
      </c>
      <c r="CG102" s="78">
        <v>0.266</v>
      </c>
      <c r="CH102" s="78">
        <v>0.6</v>
      </c>
      <c r="CI102" s="78">
        <v>0</v>
      </c>
      <c r="CJ102" s="79">
        <v>0</v>
      </c>
    </row>
    <row r="103" spans="1:88" ht="16.5" customHeight="1">
      <c r="A103" s="592"/>
      <c r="B103" s="3" t="s">
        <v>25</v>
      </c>
      <c r="C103" s="674">
        <v>5197.12</v>
      </c>
      <c r="D103" s="203">
        <v>28</v>
      </c>
      <c r="E103" s="198">
        <f t="shared" si="62"/>
        <v>1321.04</v>
      </c>
      <c r="F103" s="206">
        <v>1171.95</v>
      </c>
      <c r="G103" s="203">
        <v>149.09</v>
      </c>
      <c r="H103" s="203">
        <v>52</v>
      </c>
      <c r="I103" s="203">
        <f>-I1030</f>
        <v>0</v>
      </c>
      <c r="J103" s="204"/>
      <c r="K103" s="205"/>
      <c r="L103" s="603">
        <f t="shared" si="70"/>
        <v>5221.83</v>
      </c>
      <c r="M103" s="204">
        <v>5221.83</v>
      </c>
      <c r="N103" s="204"/>
      <c r="O103" s="204"/>
      <c r="P103" s="204">
        <v>28.833333333333332</v>
      </c>
      <c r="Q103" s="204">
        <v>181.10393063583817</v>
      </c>
      <c r="R103" s="213"/>
      <c r="S103" s="213">
        <v>967</v>
      </c>
      <c r="T103" s="204"/>
      <c r="U103" s="204"/>
      <c r="V103" s="204">
        <v>3990</v>
      </c>
      <c r="W103" s="204"/>
      <c r="X103" s="604">
        <v>3.26</v>
      </c>
      <c r="Y103" s="95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96"/>
      <c r="AL103" s="95">
        <f t="shared" si="71"/>
        <v>11765</v>
      </c>
      <c r="AM103" s="32">
        <v>8367</v>
      </c>
      <c r="AN103" s="32">
        <v>66902</v>
      </c>
      <c r="AO103" s="32"/>
      <c r="AP103" s="32"/>
      <c r="AQ103" s="32"/>
      <c r="AR103" s="32"/>
      <c r="AS103" s="32"/>
      <c r="AT103" s="32"/>
      <c r="AU103" s="226">
        <v>3398</v>
      </c>
      <c r="AV103" s="36">
        <v>0.35</v>
      </c>
      <c r="AW103" s="68">
        <v>1290</v>
      </c>
      <c r="AX103" s="22">
        <v>50.21</v>
      </c>
      <c r="AY103" s="22">
        <v>29.51</v>
      </c>
      <c r="AZ103" s="22">
        <v>20.28</v>
      </c>
      <c r="BA103" s="22">
        <v>19.97</v>
      </c>
      <c r="BB103" s="22">
        <v>5.42</v>
      </c>
      <c r="BC103" s="22">
        <v>19.4</v>
      </c>
      <c r="BD103" s="22">
        <v>40.09</v>
      </c>
      <c r="BE103" s="22">
        <v>5.42</v>
      </c>
      <c r="BF103" s="22">
        <v>9.7</v>
      </c>
      <c r="BG103" s="240"/>
      <c r="BH103" s="117">
        <v>31967</v>
      </c>
      <c r="BI103" s="136"/>
      <c r="BJ103" s="136"/>
      <c r="BK103" s="136">
        <v>163.4</v>
      </c>
      <c r="BL103" s="14"/>
      <c r="BM103" s="14"/>
      <c r="BN103" s="14">
        <v>644</v>
      </c>
      <c r="BO103" s="14"/>
      <c r="BP103" s="18">
        <v>644</v>
      </c>
      <c r="BQ103" s="259">
        <v>40.49</v>
      </c>
      <c r="BR103" s="260"/>
      <c r="BS103" s="260"/>
      <c r="BT103" s="260">
        <v>75.22</v>
      </c>
      <c r="BU103" s="260"/>
      <c r="BV103" s="260"/>
      <c r="BW103" s="260">
        <v>23.32</v>
      </c>
      <c r="BX103" s="260"/>
      <c r="BY103" s="260"/>
      <c r="BZ103" s="260">
        <v>8.59</v>
      </c>
      <c r="CA103" s="260"/>
      <c r="CB103" s="261"/>
      <c r="CC103" s="269">
        <v>8</v>
      </c>
      <c r="CD103" s="78">
        <v>1.6</v>
      </c>
      <c r="CE103" s="78">
        <v>2.1</v>
      </c>
      <c r="CF103" s="78">
        <v>12.2</v>
      </c>
      <c r="CG103" s="78">
        <v>0.216</v>
      </c>
      <c r="CH103" s="78">
        <v>0.65</v>
      </c>
      <c r="CI103" s="78">
        <v>0</v>
      </c>
      <c r="CJ103" s="79">
        <v>0</v>
      </c>
    </row>
    <row r="104" spans="1:88" ht="16.5" customHeight="1">
      <c r="A104" s="592"/>
      <c r="B104" s="3" t="s">
        <v>26</v>
      </c>
      <c r="C104" s="674">
        <v>2849.14</v>
      </c>
      <c r="D104" s="203">
        <v>24</v>
      </c>
      <c r="E104" s="198">
        <f t="shared" si="62"/>
        <v>770.79</v>
      </c>
      <c r="F104" s="203">
        <v>655.1</v>
      </c>
      <c r="G104" s="203">
        <v>115.69</v>
      </c>
      <c r="H104" s="203">
        <v>48</v>
      </c>
      <c r="I104" s="203">
        <v>0</v>
      </c>
      <c r="J104" s="204"/>
      <c r="K104" s="205"/>
      <c r="L104" s="603">
        <f t="shared" si="70"/>
        <v>2722.79</v>
      </c>
      <c r="M104" s="204">
        <v>2722.79</v>
      </c>
      <c r="N104" s="204"/>
      <c r="O104" s="204"/>
      <c r="P104" s="204">
        <v>16.833333333333332</v>
      </c>
      <c r="Q104" s="204">
        <v>161.74990099009904</v>
      </c>
      <c r="R104" s="213"/>
      <c r="S104" s="213">
        <v>889</v>
      </c>
      <c r="T104" s="204"/>
      <c r="U104" s="204"/>
      <c r="V104" s="204">
        <v>5400</v>
      </c>
      <c r="W104" s="204"/>
      <c r="X104" s="604">
        <v>3.06</v>
      </c>
      <c r="Y104" s="95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96"/>
      <c r="AL104" s="95">
        <f t="shared" si="71"/>
        <v>6103</v>
      </c>
      <c r="AM104" s="32">
        <v>4340</v>
      </c>
      <c r="AN104" s="32">
        <v>34702</v>
      </c>
      <c r="AO104" s="32"/>
      <c r="AP104" s="32"/>
      <c r="AQ104" s="32"/>
      <c r="AR104" s="32"/>
      <c r="AS104" s="32"/>
      <c r="AT104" s="32"/>
      <c r="AU104" s="226">
        <v>1763</v>
      </c>
      <c r="AV104" s="36">
        <v>0.33</v>
      </c>
      <c r="AW104" s="68">
        <v>1028</v>
      </c>
      <c r="AX104" s="22">
        <v>50.08</v>
      </c>
      <c r="AY104" s="22">
        <v>28.5</v>
      </c>
      <c r="AZ104" s="22">
        <v>21.42</v>
      </c>
      <c r="BA104" s="22">
        <v>19</v>
      </c>
      <c r="BB104" s="22">
        <v>3.32</v>
      </c>
      <c r="BC104" s="22">
        <v>19.61</v>
      </c>
      <c r="BD104" s="22">
        <v>45.4</v>
      </c>
      <c r="BE104" s="22">
        <v>4.52</v>
      </c>
      <c r="BF104" s="22">
        <v>8.14</v>
      </c>
      <c r="BG104" s="240"/>
      <c r="BH104" s="117">
        <v>25000</v>
      </c>
      <c r="BI104" s="136"/>
      <c r="BJ104" s="136"/>
      <c r="BK104" s="136">
        <v>158</v>
      </c>
      <c r="BL104" s="14"/>
      <c r="BM104" s="14"/>
      <c r="BN104" s="14">
        <v>267</v>
      </c>
      <c r="BO104" s="14"/>
      <c r="BP104" s="18">
        <v>267</v>
      </c>
      <c r="BQ104" s="259">
        <v>39.04</v>
      </c>
      <c r="BR104" s="260"/>
      <c r="BS104" s="260"/>
      <c r="BT104" s="260">
        <v>71.52</v>
      </c>
      <c r="BU104" s="260"/>
      <c r="BV104" s="260"/>
      <c r="BW104" s="260">
        <v>36.81</v>
      </c>
      <c r="BX104" s="260"/>
      <c r="BY104" s="260"/>
      <c r="BZ104" s="260">
        <v>7.43</v>
      </c>
      <c r="CA104" s="260"/>
      <c r="CB104" s="261"/>
      <c r="CC104" s="269">
        <v>8.3</v>
      </c>
      <c r="CD104" s="78">
        <v>2.3</v>
      </c>
      <c r="CE104" s="78">
        <v>2.6</v>
      </c>
      <c r="CF104" s="78">
        <v>10.1</v>
      </c>
      <c r="CG104" s="78">
        <v>0.291</v>
      </c>
      <c r="CH104" s="78">
        <v>0.55</v>
      </c>
      <c r="CI104" s="78">
        <v>0</v>
      </c>
      <c r="CJ104" s="79">
        <v>0</v>
      </c>
    </row>
    <row r="105" spans="1:88" ht="16.5" customHeight="1">
      <c r="A105" s="592"/>
      <c r="B105" s="3" t="s">
        <v>27</v>
      </c>
      <c r="C105" s="674">
        <v>4716.91</v>
      </c>
      <c r="D105" s="203">
        <v>25</v>
      </c>
      <c r="E105" s="198">
        <f t="shared" si="62"/>
        <v>975.62</v>
      </c>
      <c r="F105" s="203">
        <v>879.27</v>
      </c>
      <c r="G105" s="203">
        <v>96.35</v>
      </c>
      <c r="H105" s="203">
        <v>21</v>
      </c>
      <c r="I105" s="203">
        <v>43</v>
      </c>
      <c r="J105" s="204"/>
      <c r="K105" s="205"/>
      <c r="L105" s="603">
        <f t="shared" si="70"/>
        <v>4694.24</v>
      </c>
      <c r="M105" s="204">
        <v>4651.24</v>
      </c>
      <c r="N105" s="204">
        <v>43</v>
      </c>
      <c r="O105" s="204"/>
      <c r="P105" s="204">
        <v>27.3</v>
      </c>
      <c r="Q105" s="204">
        <v>170.69</v>
      </c>
      <c r="R105" s="213"/>
      <c r="S105" s="213">
        <v>839</v>
      </c>
      <c r="T105" s="204"/>
      <c r="U105" s="204"/>
      <c r="V105" s="204">
        <v>8710</v>
      </c>
      <c r="W105" s="204"/>
      <c r="X105" s="604">
        <v>2.93</v>
      </c>
      <c r="Y105" s="95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96"/>
      <c r="AL105" s="95">
        <f t="shared" si="71"/>
        <v>11644</v>
      </c>
      <c r="AM105" s="32">
        <v>8280</v>
      </c>
      <c r="AN105" s="32">
        <v>66206</v>
      </c>
      <c r="AO105" s="32"/>
      <c r="AP105" s="32"/>
      <c r="AQ105" s="32"/>
      <c r="AR105" s="32"/>
      <c r="AS105" s="32"/>
      <c r="AT105" s="32"/>
      <c r="AU105" s="226">
        <v>3364</v>
      </c>
      <c r="AV105" s="36">
        <v>0.3</v>
      </c>
      <c r="AW105" s="68">
        <v>1710</v>
      </c>
      <c r="AX105" s="22">
        <v>41.61</v>
      </c>
      <c r="AY105" s="22">
        <v>39.42</v>
      </c>
      <c r="AZ105" s="22">
        <v>18.97</v>
      </c>
      <c r="BA105" s="22">
        <v>25.17</v>
      </c>
      <c r="BB105" s="22">
        <v>6.38</v>
      </c>
      <c r="BC105" s="22">
        <v>19.46</v>
      </c>
      <c r="BD105" s="22">
        <v>40.27</v>
      </c>
      <c r="BE105" s="22">
        <v>6.04</v>
      </c>
      <c r="BF105" s="22">
        <v>2.68</v>
      </c>
      <c r="BG105" s="240"/>
      <c r="BH105" s="117">
        <v>20091</v>
      </c>
      <c r="BI105" s="136"/>
      <c r="BJ105" s="136"/>
      <c r="BK105" s="136">
        <v>158.33</v>
      </c>
      <c r="BL105" s="14"/>
      <c r="BM105" s="14"/>
      <c r="BN105" s="14">
        <v>387</v>
      </c>
      <c r="BO105" s="14"/>
      <c r="BP105" s="18">
        <v>387</v>
      </c>
      <c r="BQ105" s="259">
        <v>35.93</v>
      </c>
      <c r="BR105" s="260"/>
      <c r="BS105" s="260"/>
      <c r="BT105" s="260">
        <v>66.65</v>
      </c>
      <c r="BU105" s="260"/>
      <c r="BV105" s="260"/>
      <c r="BW105" s="260">
        <v>28.98</v>
      </c>
      <c r="BX105" s="260"/>
      <c r="BY105" s="260"/>
      <c r="BZ105" s="260">
        <v>7.74</v>
      </c>
      <c r="CA105" s="260"/>
      <c r="CB105" s="261"/>
      <c r="CC105" s="269">
        <v>8.1</v>
      </c>
      <c r="CD105" s="78">
        <v>2.6</v>
      </c>
      <c r="CE105" s="78">
        <v>2.8</v>
      </c>
      <c r="CF105" s="78">
        <v>12.6</v>
      </c>
      <c r="CG105" s="78">
        <v>0.266</v>
      </c>
      <c r="CH105" s="78">
        <v>0.7</v>
      </c>
      <c r="CI105" s="78">
        <v>0</v>
      </c>
      <c r="CJ105" s="79">
        <v>0</v>
      </c>
    </row>
    <row r="106" spans="1:88" ht="16.5" customHeight="1">
      <c r="A106" s="592"/>
      <c r="B106" s="3" t="s">
        <v>28</v>
      </c>
      <c r="C106" s="674">
        <v>2331.56</v>
      </c>
      <c r="D106" s="203">
        <v>15</v>
      </c>
      <c r="E106" s="198">
        <f t="shared" si="62"/>
        <v>556.38</v>
      </c>
      <c r="F106" s="203">
        <v>483.39</v>
      </c>
      <c r="G106" s="203">
        <v>72.99</v>
      </c>
      <c r="H106" s="203">
        <v>17</v>
      </c>
      <c r="I106" s="203">
        <v>39</v>
      </c>
      <c r="J106" s="204"/>
      <c r="K106" s="205"/>
      <c r="L106" s="603">
        <f t="shared" si="70"/>
        <v>2931.81</v>
      </c>
      <c r="M106" s="204">
        <v>2892.81</v>
      </c>
      <c r="N106" s="204">
        <v>39</v>
      </c>
      <c r="O106" s="204"/>
      <c r="P106" s="204">
        <v>16.4</v>
      </c>
      <c r="Q106" s="204">
        <v>176.89</v>
      </c>
      <c r="R106" s="213"/>
      <c r="S106" s="213">
        <v>930</v>
      </c>
      <c r="T106" s="204"/>
      <c r="U106" s="204"/>
      <c r="V106" s="204">
        <v>5100</v>
      </c>
      <c r="W106" s="204"/>
      <c r="X106" s="604">
        <v>3.77</v>
      </c>
      <c r="Y106" s="95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96"/>
      <c r="AL106" s="95">
        <f t="shared" si="71"/>
        <v>6582</v>
      </c>
      <c r="AM106" s="32">
        <v>4680</v>
      </c>
      <c r="AN106" s="32">
        <v>37421</v>
      </c>
      <c r="AO106" s="32"/>
      <c r="AP106" s="32"/>
      <c r="AQ106" s="32"/>
      <c r="AR106" s="32"/>
      <c r="AS106" s="32"/>
      <c r="AT106" s="32"/>
      <c r="AU106" s="226">
        <v>1902</v>
      </c>
      <c r="AV106" s="36">
        <v>0.31</v>
      </c>
      <c r="AW106" s="68">
        <v>1896</v>
      </c>
      <c r="AX106" s="22">
        <v>39.78</v>
      </c>
      <c r="AY106" s="22">
        <v>41.29</v>
      </c>
      <c r="AZ106" s="22">
        <v>18.93</v>
      </c>
      <c r="BA106" s="22">
        <v>23.32</v>
      </c>
      <c r="BB106" s="22">
        <v>7.35</v>
      </c>
      <c r="BC106" s="22">
        <v>24.28</v>
      </c>
      <c r="BD106" s="22">
        <v>33.55</v>
      </c>
      <c r="BE106" s="22">
        <v>7.99</v>
      </c>
      <c r="BF106" s="22">
        <v>3.51</v>
      </c>
      <c r="BG106" s="240"/>
      <c r="BH106" s="117">
        <v>27016.23</v>
      </c>
      <c r="BI106" s="136"/>
      <c r="BJ106" s="136"/>
      <c r="BK106" s="136">
        <v>145</v>
      </c>
      <c r="BL106" s="14"/>
      <c r="BM106" s="14"/>
      <c r="BN106" s="14">
        <v>209</v>
      </c>
      <c r="BO106" s="14"/>
      <c r="BP106" s="18">
        <v>209</v>
      </c>
      <c r="BQ106" s="259">
        <v>30.06</v>
      </c>
      <c r="BR106" s="260"/>
      <c r="BS106" s="260"/>
      <c r="BT106" s="260">
        <v>60.36</v>
      </c>
      <c r="BU106" s="260"/>
      <c r="BV106" s="260"/>
      <c r="BW106" s="260">
        <v>33.83</v>
      </c>
      <c r="BX106" s="260"/>
      <c r="BY106" s="260"/>
      <c r="BZ106" s="260">
        <v>5.6</v>
      </c>
      <c r="CA106" s="260"/>
      <c r="CB106" s="261"/>
      <c r="CC106" s="269">
        <v>7.9</v>
      </c>
      <c r="CD106" s="78">
        <v>2.5</v>
      </c>
      <c r="CE106" s="78">
        <v>2.7</v>
      </c>
      <c r="CF106" s="78">
        <v>12.5</v>
      </c>
      <c r="CG106" s="78">
        <v>0.316</v>
      </c>
      <c r="CH106" s="78">
        <v>0.6</v>
      </c>
      <c r="CI106" s="78">
        <v>0</v>
      </c>
      <c r="CJ106" s="79">
        <v>0</v>
      </c>
    </row>
    <row r="107" spans="1:88" ht="16.5" customHeight="1">
      <c r="A107" s="592"/>
      <c r="B107" s="3" t="s">
        <v>29</v>
      </c>
      <c r="C107" s="674">
        <v>4519.73</v>
      </c>
      <c r="D107" s="203">
        <v>28</v>
      </c>
      <c r="E107" s="198">
        <f t="shared" si="62"/>
        <v>936.22</v>
      </c>
      <c r="F107" s="206">
        <v>862.27</v>
      </c>
      <c r="G107" s="203">
        <v>73.95</v>
      </c>
      <c r="H107" s="203">
        <v>10</v>
      </c>
      <c r="I107" s="203">
        <v>38</v>
      </c>
      <c r="J107" s="204"/>
      <c r="K107" s="205"/>
      <c r="L107" s="603">
        <f t="shared" si="70"/>
        <v>4396.13</v>
      </c>
      <c r="M107" s="204">
        <v>4358.13</v>
      </c>
      <c r="N107" s="204">
        <v>38</v>
      </c>
      <c r="O107" s="204"/>
      <c r="P107" s="204">
        <v>25.3</v>
      </c>
      <c r="Q107" s="204">
        <v>172.31</v>
      </c>
      <c r="R107" s="213"/>
      <c r="S107" s="213">
        <v>949</v>
      </c>
      <c r="T107" s="204"/>
      <c r="U107" s="204"/>
      <c r="V107" s="204">
        <v>2760</v>
      </c>
      <c r="W107" s="204"/>
      <c r="X107" s="604">
        <v>3.32</v>
      </c>
      <c r="Y107" s="95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96"/>
      <c r="AL107" s="95">
        <f t="shared" si="71"/>
        <v>10026</v>
      </c>
      <c r="AM107" s="32">
        <v>7132</v>
      </c>
      <c r="AN107" s="32">
        <v>57027</v>
      </c>
      <c r="AO107" s="32"/>
      <c r="AP107" s="32"/>
      <c r="AQ107" s="32"/>
      <c r="AR107" s="32"/>
      <c r="AS107" s="32"/>
      <c r="AT107" s="32"/>
      <c r="AU107" s="226">
        <v>2894</v>
      </c>
      <c r="AV107" s="36">
        <v>0.23</v>
      </c>
      <c r="AW107" s="68">
        <v>1889</v>
      </c>
      <c r="AX107" s="22">
        <v>38.23</v>
      </c>
      <c r="AY107" s="22">
        <v>42.13</v>
      </c>
      <c r="AZ107" s="22">
        <v>19.64</v>
      </c>
      <c r="BA107" s="22">
        <v>18.57</v>
      </c>
      <c r="BB107" s="22">
        <v>11.66</v>
      </c>
      <c r="BC107" s="22">
        <v>16.85</v>
      </c>
      <c r="BD107" s="22">
        <v>38.88</v>
      </c>
      <c r="BE107" s="22">
        <v>8.86</v>
      </c>
      <c r="BF107" s="22">
        <v>5.18</v>
      </c>
      <c r="BG107" s="240"/>
      <c r="BH107" s="117">
        <v>30294.15</v>
      </c>
      <c r="BI107" s="136"/>
      <c r="BJ107" s="136"/>
      <c r="BK107" s="136">
        <v>150.25</v>
      </c>
      <c r="BL107" s="14"/>
      <c r="BM107" s="14"/>
      <c r="BN107" s="14">
        <v>398</v>
      </c>
      <c r="BO107" s="14"/>
      <c r="BP107" s="18">
        <v>398</v>
      </c>
      <c r="BQ107" s="259">
        <v>28.08</v>
      </c>
      <c r="BR107" s="260"/>
      <c r="BS107" s="260"/>
      <c r="BT107" s="260">
        <v>69.52</v>
      </c>
      <c r="BU107" s="260"/>
      <c r="BV107" s="260"/>
      <c r="BW107" s="260">
        <v>29.83</v>
      </c>
      <c r="BX107" s="260"/>
      <c r="BY107" s="260"/>
      <c r="BZ107" s="260">
        <v>7.31</v>
      </c>
      <c r="CA107" s="260"/>
      <c r="CB107" s="261"/>
      <c r="CC107" s="269">
        <v>7.8</v>
      </c>
      <c r="CD107" s="78">
        <v>2</v>
      </c>
      <c r="CE107" s="78">
        <v>2.3</v>
      </c>
      <c r="CF107" s="78">
        <v>15.4</v>
      </c>
      <c r="CG107" s="78">
        <v>0.25</v>
      </c>
      <c r="CH107" s="78">
        <v>0.5</v>
      </c>
      <c r="CI107" s="78">
        <v>0</v>
      </c>
      <c r="CJ107" s="79">
        <v>0</v>
      </c>
    </row>
    <row r="108" spans="1:88" ht="16.5" customHeight="1" thickBot="1">
      <c r="A108" s="593"/>
      <c r="B108" s="4" t="s">
        <v>30</v>
      </c>
      <c r="C108" s="675">
        <v>5179.78</v>
      </c>
      <c r="D108" s="207">
        <v>27</v>
      </c>
      <c r="E108" s="679">
        <f t="shared" si="62"/>
        <v>1107.06</v>
      </c>
      <c r="F108" s="207">
        <v>981.11</v>
      </c>
      <c r="G108" s="207">
        <v>125.95</v>
      </c>
      <c r="H108" s="207">
        <v>19</v>
      </c>
      <c r="I108" s="207">
        <v>45</v>
      </c>
      <c r="J108" s="208"/>
      <c r="K108" s="209"/>
      <c r="L108" s="587">
        <f t="shared" si="70"/>
        <v>5105.96</v>
      </c>
      <c r="M108" s="208">
        <v>5056.96</v>
      </c>
      <c r="N108" s="208">
        <v>49</v>
      </c>
      <c r="O108" s="208"/>
      <c r="P108" s="208">
        <v>30.9</v>
      </c>
      <c r="Q108" s="208">
        <v>163.79</v>
      </c>
      <c r="R108" s="588"/>
      <c r="S108" s="588">
        <v>948</v>
      </c>
      <c r="T108" s="208"/>
      <c r="U108" s="208"/>
      <c r="V108" s="208">
        <v>3110</v>
      </c>
      <c r="W108" s="208"/>
      <c r="X108" s="589">
        <v>3.9</v>
      </c>
      <c r="Y108" s="153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586"/>
      <c r="AL108" s="153">
        <f t="shared" si="71"/>
        <v>12336</v>
      </c>
      <c r="AM108" s="99">
        <v>8775</v>
      </c>
      <c r="AN108" s="99">
        <v>70164</v>
      </c>
      <c r="AO108" s="99"/>
      <c r="AP108" s="99"/>
      <c r="AQ108" s="99"/>
      <c r="AR108" s="99"/>
      <c r="AS108" s="99"/>
      <c r="AT108" s="99"/>
      <c r="AU108" s="227">
        <v>3561</v>
      </c>
      <c r="AV108" s="65">
        <v>0.27</v>
      </c>
      <c r="AW108" s="69">
        <v>1759</v>
      </c>
      <c r="AX108" s="43">
        <v>38.11</v>
      </c>
      <c r="AY108" s="43">
        <v>38.21</v>
      </c>
      <c r="AZ108" s="43">
        <v>23.68</v>
      </c>
      <c r="BA108" s="43">
        <v>24.53</v>
      </c>
      <c r="BB108" s="43">
        <v>5.66</v>
      </c>
      <c r="BC108" s="43">
        <v>18.11</v>
      </c>
      <c r="BD108" s="43">
        <v>39.62</v>
      </c>
      <c r="BE108" s="43">
        <v>7.55</v>
      </c>
      <c r="BF108" s="43">
        <v>4.53</v>
      </c>
      <c r="BG108" s="241"/>
      <c r="BH108" s="245">
        <v>40165</v>
      </c>
      <c r="BI108" s="246"/>
      <c r="BJ108" s="246"/>
      <c r="BK108" s="246">
        <v>159.75</v>
      </c>
      <c r="BL108" s="15"/>
      <c r="BM108" s="15"/>
      <c r="BN108" s="15">
        <v>589</v>
      </c>
      <c r="BO108" s="15"/>
      <c r="BP108" s="19">
        <v>589</v>
      </c>
      <c r="BQ108" s="262">
        <v>40.76</v>
      </c>
      <c r="BR108" s="263"/>
      <c r="BS108" s="263"/>
      <c r="BT108" s="263">
        <v>72.98</v>
      </c>
      <c r="BU108" s="263"/>
      <c r="BV108" s="263"/>
      <c r="BW108" s="263">
        <v>22.79</v>
      </c>
      <c r="BX108" s="263"/>
      <c r="BY108" s="263"/>
      <c r="BZ108" s="263">
        <v>19.61</v>
      </c>
      <c r="CA108" s="263"/>
      <c r="CB108" s="264"/>
      <c r="CC108" s="270">
        <v>6.7</v>
      </c>
      <c r="CD108" s="80">
        <v>2.2</v>
      </c>
      <c r="CE108" s="80">
        <v>2.2</v>
      </c>
      <c r="CF108" s="80">
        <v>19.3</v>
      </c>
      <c r="CG108" s="80">
        <v>0.325</v>
      </c>
      <c r="CH108" s="80">
        <v>0.55</v>
      </c>
      <c r="CI108" s="80">
        <v>0</v>
      </c>
      <c r="CJ108" s="81">
        <v>0</v>
      </c>
    </row>
    <row r="109" spans="1:88" ht="16.5" customHeight="1">
      <c r="A109" s="590" t="s">
        <v>390</v>
      </c>
      <c r="B109" s="2" t="s">
        <v>48</v>
      </c>
      <c r="C109" s="605">
        <f>SUM(C110:C121)</f>
        <v>65182.6</v>
      </c>
      <c r="D109" s="458">
        <f>SUM(D110:D121)</f>
        <v>287</v>
      </c>
      <c r="E109" s="677">
        <f aca="true" t="shared" si="72" ref="E109:E121">F109+G109</f>
        <v>11403.870000000003</v>
      </c>
      <c r="F109" s="458">
        <f>SUM(F110:F121)</f>
        <v>10849.330000000002</v>
      </c>
      <c r="G109" s="458">
        <f>SUM(G110:G121)</f>
        <v>554.5400000000001</v>
      </c>
      <c r="H109" s="458">
        <f>SUM(H110:H121)</f>
        <v>2408</v>
      </c>
      <c r="I109" s="458">
        <f>SUM(I110:I121)</f>
        <v>714.8900000000001</v>
      </c>
      <c r="J109" s="458">
        <f>SUM(J110:J121)</f>
        <v>1692.61</v>
      </c>
      <c r="K109" s="661">
        <v>0</v>
      </c>
      <c r="L109" s="605">
        <f t="shared" si="70"/>
        <v>62890.76499999999</v>
      </c>
      <c r="M109" s="458">
        <f>SUM(M110:M121)</f>
        <v>62175.87499999999</v>
      </c>
      <c r="N109" s="459">
        <f>SUM(N110:N121)</f>
        <v>714.8900000000001</v>
      </c>
      <c r="O109" s="459"/>
      <c r="P109" s="459">
        <f>SUM(P110:P121)</f>
        <v>334.46000000000004</v>
      </c>
      <c r="Q109" s="459">
        <f aca="true" t="shared" si="73" ref="Q109:Q121">L109/P109</f>
        <v>188.0367308497279</v>
      </c>
      <c r="R109" s="459">
        <f>(L109/P109)/200*100</f>
        <v>94.01836542486394</v>
      </c>
      <c r="S109" s="459">
        <f>AVERAGE(S110:S121)</f>
        <v>907</v>
      </c>
      <c r="T109" s="459">
        <f>SUM(T110:T121)</f>
        <v>8397</v>
      </c>
      <c r="U109" s="275">
        <f>SUM(U110:U121)</f>
        <v>506752</v>
      </c>
      <c r="V109" s="459"/>
      <c r="W109" s="459"/>
      <c r="X109" s="606">
        <f>AVERAGE(X110:X121)</f>
        <v>2.983333333333333</v>
      </c>
      <c r="Y109" s="91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214"/>
      <c r="AL109" s="460">
        <f>SUM(AL110:AL121)</f>
        <v>109051</v>
      </c>
      <c r="AM109" s="461">
        <f>SUM(AM110:AM121)</f>
        <v>71991</v>
      </c>
      <c r="AN109" s="461">
        <f>SUM(AN110:AN121)</f>
        <v>633147</v>
      </c>
      <c r="AO109" s="461"/>
      <c r="AP109" s="281"/>
      <c r="AQ109" s="281"/>
      <c r="AR109" s="281"/>
      <c r="AS109" s="281"/>
      <c r="AT109" s="281"/>
      <c r="AU109" s="462">
        <f>SUM(AU110:AU121)</f>
        <v>37060</v>
      </c>
      <c r="AV109" s="37">
        <f aca="true" t="shared" si="74" ref="AV109:BF109">AVERAGE(AV110:AV121)</f>
        <v>0.3508333333333333</v>
      </c>
      <c r="AW109" s="459">
        <f t="shared" si="74"/>
        <v>1825.805</v>
      </c>
      <c r="AX109" s="20">
        <f t="shared" si="74"/>
        <v>52.33833333333333</v>
      </c>
      <c r="AY109" s="20">
        <f t="shared" si="74"/>
        <v>39.57833333333333</v>
      </c>
      <c r="AZ109" s="20">
        <f t="shared" si="74"/>
        <v>8.083333333333334</v>
      </c>
      <c r="BA109" s="20">
        <f t="shared" si="74"/>
        <v>21.61583333333333</v>
      </c>
      <c r="BB109" s="20">
        <f t="shared" si="74"/>
        <v>1.5616666666666665</v>
      </c>
      <c r="BC109" s="20">
        <f t="shared" si="74"/>
        <v>24.153333333333332</v>
      </c>
      <c r="BD109" s="20">
        <f t="shared" si="74"/>
        <v>42.154166666666676</v>
      </c>
      <c r="BE109" s="20">
        <f t="shared" si="74"/>
        <v>4.499166666666667</v>
      </c>
      <c r="BF109" s="20">
        <f t="shared" si="74"/>
        <v>6.015833333333334</v>
      </c>
      <c r="BG109" s="282"/>
      <c r="BH109" s="463">
        <f>AVERAGE(BH110:BH121)</f>
        <v>41251.12500000001</v>
      </c>
      <c r="BI109" s="84"/>
      <c r="BJ109" s="84"/>
      <c r="BK109" s="125">
        <f>AVERAGE(BK110:BK121)</f>
        <v>190.83333333333334</v>
      </c>
      <c r="BL109" s="84"/>
      <c r="BM109" s="84"/>
      <c r="BN109" s="459">
        <f>SUM(BN110:BN121)</f>
        <v>17787.66</v>
      </c>
      <c r="BO109" s="287"/>
      <c r="BP109" s="464">
        <f>SUM(BP110:BP121)</f>
        <v>17787.66</v>
      </c>
      <c r="BQ109" s="23">
        <f>AVERAGE(BQ110:BQ121)</f>
        <v>4.533333333333333</v>
      </c>
      <c r="BR109" s="84"/>
      <c r="BS109" s="84"/>
      <c r="BT109" s="24">
        <f>AVERAGE(BT110:BT121)</f>
        <v>30.514999999999997</v>
      </c>
      <c r="BU109" s="84"/>
      <c r="BV109" s="84"/>
      <c r="BW109" s="24">
        <f>AVERAGE(BW110:BW121)</f>
        <v>1.7274999999999998</v>
      </c>
      <c r="BX109" s="24"/>
      <c r="BY109" s="24"/>
      <c r="BZ109" s="24">
        <v>3.935</v>
      </c>
      <c r="CA109" s="84"/>
      <c r="CB109" s="85"/>
      <c r="CC109" s="23">
        <f aca="true" t="shared" si="75" ref="CC109:CJ109">AVERAGE(CC110:CC121)</f>
        <v>7.191666666666667</v>
      </c>
      <c r="CD109" s="24">
        <f t="shared" si="75"/>
        <v>6.1725</v>
      </c>
      <c r="CE109" s="24">
        <f t="shared" si="75"/>
        <v>15.768333333333333</v>
      </c>
      <c r="CF109" s="24">
        <f t="shared" si="75"/>
        <v>14.75</v>
      </c>
      <c r="CG109" s="24">
        <f t="shared" si="75"/>
        <v>0.10716666666666667</v>
      </c>
      <c r="CH109" s="24">
        <f t="shared" si="75"/>
        <v>0.0498</v>
      </c>
      <c r="CI109" s="24">
        <f t="shared" si="75"/>
        <v>0.0013714285714285716</v>
      </c>
      <c r="CJ109" s="25">
        <f t="shared" si="75"/>
        <v>0.08</v>
      </c>
    </row>
    <row r="110" spans="1:88" ht="16.5" customHeight="1">
      <c r="A110" s="591"/>
      <c r="B110" s="3" t="s">
        <v>19</v>
      </c>
      <c r="C110" s="470">
        <v>5711.08</v>
      </c>
      <c r="D110" s="465">
        <v>22</v>
      </c>
      <c r="E110" s="465">
        <f t="shared" si="72"/>
        <v>824.74</v>
      </c>
      <c r="F110" s="465">
        <v>784.03</v>
      </c>
      <c r="G110" s="465">
        <v>40.71</v>
      </c>
      <c r="H110" s="468">
        <v>52</v>
      </c>
      <c r="I110" s="465">
        <v>52.21</v>
      </c>
      <c r="J110" s="465"/>
      <c r="K110" s="466">
        <v>0</v>
      </c>
      <c r="L110" s="470">
        <f t="shared" si="70"/>
        <v>5130.91</v>
      </c>
      <c r="M110" s="465">
        <v>5078.7</v>
      </c>
      <c r="N110" s="274">
        <v>52.21</v>
      </c>
      <c r="O110" s="274"/>
      <c r="P110" s="274">
        <v>27.62</v>
      </c>
      <c r="Q110" s="274">
        <f t="shared" si="73"/>
        <v>185.76792179580013</v>
      </c>
      <c r="R110" s="274"/>
      <c r="S110" s="274">
        <v>924</v>
      </c>
      <c r="T110" s="274">
        <v>799</v>
      </c>
      <c r="U110" s="274">
        <v>41090</v>
      </c>
      <c r="V110" s="274"/>
      <c r="W110" s="274"/>
      <c r="X110" s="607">
        <v>3.9</v>
      </c>
      <c r="Y110" s="95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152"/>
      <c r="AL110" s="467">
        <v>9501</v>
      </c>
      <c r="AM110" s="468">
        <v>6119</v>
      </c>
      <c r="AN110" s="468">
        <v>55046</v>
      </c>
      <c r="AO110" s="468"/>
      <c r="AP110" s="67"/>
      <c r="AQ110" s="67"/>
      <c r="AR110" s="67"/>
      <c r="AS110" s="67"/>
      <c r="AT110" s="67"/>
      <c r="AU110" s="469">
        <v>3382</v>
      </c>
      <c r="AV110" s="35">
        <v>0.33</v>
      </c>
      <c r="AW110" s="438">
        <v>1874.6</v>
      </c>
      <c r="AX110" s="21">
        <v>50.69</v>
      </c>
      <c r="AY110" s="21">
        <v>41.31</v>
      </c>
      <c r="AZ110" s="21">
        <v>8</v>
      </c>
      <c r="BA110" s="21">
        <v>24.46</v>
      </c>
      <c r="BB110" s="21">
        <v>0</v>
      </c>
      <c r="BC110" s="21">
        <v>19.03</v>
      </c>
      <c r="BD110" s="21">
        <v>48.35</v>
      </c>
      <c r="BE110" s="21">
        <v>1.65</v>
      </c>
      <c r="BF110" s="21">
        <v>6.51</v>
      </c>
      <c r="BG110" s="283"/>
      <c r="BH110" s="438">
        <v>37031</v>
      </c>
      <c r="BI110" s="129"/>
      <c r="BJ110" s="129"/>
      <c r="BK110" s="116">
        <v>193</v>
      </c>
      <c r="BL110" s="129"/>
      <c r="BM110" s="129"/>
      <c r="BN110" s="438">
        <v>1392.6</v>
      </c>
      <c r="BO110" s="288"/>
      <c r="BP110" s="452">
        <v>1392.6</v>
      </c>
      <c r="BQ110" s="26">
        <v>5.23</v>
      </c>
      <c r="BR110" s="129"/>
      <c r="BS110" s="129"/>
      <c r="BT110" s="27">
        <v>27.79</v>
      </c>
      <c r="BU110" s="129"/>
      <c r="BV110" s="129"/>
      <c r="BW110" s="27">
        <v>0</v>
      </c>
      <c r="BX110" s="27"/>
      <c r="BY110" s="27"/>
      <c r="BZ110" s="27">
        <v>4.03</v>
      </c>
      <c r="CA110" s="129"/>
      <c r="CB110" s="285"/>
      <c r="CC110" s="28">
        <v>7.15</v>
      </c>
      <c r="CD110" s="29">
        <v>10.4</v>
      </c>
      <c r="CE110" s="29">
        <v>20.7</v>
      </c>
      <c r="CF110" s="29">
        <v>14.25</v>
      </c>
      <c r="CG110" s="29">
        <v>0.061</v>
      </c>
      <c r="CH110" s="29">
        <v>0.013</v>
      </c>
      <c r="CI110" s="29">
        <v>0.0016</v>
      </c>
      <c r="CJ110" s="30">
        <v>0.113</v>
      </c>
    </row>
    <row r="111" spans="1:88" ht="16.5" customHeight="1">
      <c r="A111" s="591"/>
      <c r="B111" s="3" t="s">
        <v>20</v>
      </c>
      <c r="C111" s="470">
        <v>5634.68</v>
      </c>
      <c r="D111" s="465">
        <v>23</v>
      </c>
      <c r="E111" s="465">
        <f t="shared" si="72"/>
        <v>1025.52</v>
      </c>
      <c r="F111" s="465">
        <v>988.21</v>
      </c>
      <c r="G111" s="465">
        <v>37.31</v>
      </c>
      <c r="H111" s="465">
        <v>56</v>
      </c>
      <c r="I111" s="465">
        <v>56.07</v>
      </c>
      <c r="J111" s="465"/>
      <c r="K111" s="466"/>
      <c r="L111" s="470">
        <f t="shared" si="70"/>
        <v>5380.335</v>
      </c>
      <c r="M111" s="465">
        <v>5324.265</v>
      </c>
      <c r="N111" s="274">
        <v>56.07</v>
      </c>
      <c r="O111" s="274"/>
      <c r="P111" s="274">
        <v>29</v>
      </c>
      <c r="Q111" s="274">
        <f t="shared" si="73"/>
        <v>185.52879310344827</v>
      </c>
      <c r="R111" s="274"/>
      <c r="S111" s="274">
        <v>903</v>
      </c>
      <c r="T111" s="274"/>
      <c r="U111" s="274">
        <v>44376</v>
      </c>
      <c r="V111" s="274"/>
      <c r="W111" s="274"/>
      <c r="X111" s="607">
        <v>3.7</v>
      </c>
      <c r="Y111" s="95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152"/>
      <c r="AL111" s="470">
        <v>9976</v>
      </c>
      <c r="AM111" s="465">
        <v>6465</v>
      </c>
      <c r="AN111" s="465">
        <v>58159</v>
      </c>
      <c r="AO111" s="465"/>
      <c r="AP111" s="68"/>
      <c r="AQ111" s="68"/>
      <c r="AR111" s="68"/>
      <c r="AS111" s="68"/>
      <c r="AT111" s="68"/>
      <c r="AU111" s="466">
        <v>3511</v>
      </c>
      <c r="AV111" s="36">
        <v>0.39</v>
      </c>
      <c r="AW111" s="274">
        <v>2032.03</v>
      </c>
      <c r="AX111" s="22">
        <v>48.03</v>
      </c>
      <c r="AY111" s="22">
        <v>43.91</v>
      </c>
      <c r="AZ111" s="22">
        <v>8.06</v>
      </c>
      <c r="BA111" s="22">
        <v>16.95</v>
      </c>
      <c r="BB111" s="22">
        <v>2.27</v>
      </c>
      <c r="BC111" s="22">
        <v>22.67</v>
      </c>
      <c r="BD111" s="22">
        <v>50.72</v>
      </c>
      <c r="BE111" s="22">
        <v>2.83</v>
      </c>
      <c r="BF111" s="22">
        <v>4.56</v>
      </c>
      <c r="BG111" s="284"/>
      <c r="BH111" s="274">
        <v>39755.3</v>
      </c>
      <c r="BI111" s="61"/>
      <c r="BJ111" s="61"/>
      <c r="BK111" s="104">
        <v>190</v>
      </c>
      <c r="BL111" s="61"/>
      <c r="BM111" s="61"/>
      <c r="BN111" s="274">
        <v>1577.3</v>
      </c>
      <c r="BO111" s="289"/>
      <c r="BP111" s="450">
        <v>1577.3</v>
      </c>
      <c r="BQ111" s="28">
        <v>4.95</v>
      </c>
      <c r="BR111" s="61"/>
      <c r="BS111" s="61"/>
      <c r="BT111" s="29">
        <v>33.25</v>
      </c>
      <c r="BU111" s="61"/>
      <c r="BV111" s="61"/>
      <c r="BW111" s="29">
        <v>1.14</v>
      </c>
      <c r="BX111" s="29"/>
      <c r="BY111" s="29"/>
      <c r="BZ111" s="29">
        <v>3.64</v>
      </c>
      <c r="CA111" s="61"/>
      <c r="CB111" s="286"/>
      <c r="CC111" s="28">
        <v>7.29</v>
      </c>
      <c r="CD111" s="29">
        <v>8.05</v>
      </c>
      <c r="CE111" s="29">
        <v>22.4</v>
      </c>
      <c r="CF111" s="29">
        <v>26.75</v>
      </c>
      <c r="CG111" s="29">
        <v>0.096</v>
      </c>
      <c r="CH111" s="29">
        <v>0.012</v>
      </c>
      <c r="CI111" s="29">
        <v>0.002</v>
      </c>
      <c r="CJ111" s="30">
        <v>0.11</v>
      </c>
    </row>
    <row r="112" spans="1:88" ht="16.5" customHeight="1">
      <c r="A112" s="592"/>
      <c r="B112" s="3" t="s">
        <v>21</v>
      </c>
      <c r="C112" s="470">
        <v>5916.44</v>
      </c>
      <c r="D112" s="465">
        <v>26</v>
      </c>
      <c r="E112" s="465">
        <f t="shared" si="72"/>
        <v>1144.42</v>
      </c>
      <c r="F112" s="465">
        <v>1084.18</v>
      </c>
      <c r="G112" s="465">
        <v>60.24</v>
      </c>
      <c r="H112" s="465">
        <v>71</v>
      </c>
      <c r="I112" s="465">
        <v>70.7</v>
      </c>
      <c r="J112" s="465"/>
      <c r="K112" s="466"/>
      <c r="L112" s="470">
        <f t="shared" si="70"/>
        <v>5730.495</v>
      </c>
      <c r="M112" s="465">
        <v>5659.795</v>
      </c>
      <c r="N112" s="274">
        <v>70.7</v>
      </c>
      <c r="O112" s="274"/>
      <c r="P112" s="274">
        <v>30.5</v>
      </c>
      <c r="Q112" s="274">
        <f t="shared" si="73"/>
        <v>187.88508196721313</v>
      </c>
      <c r="R112" s="274"/>
      <c r="S112" s="274">
        <v>906</v>
      </c>
      <c r="T112" s="274"/>
      <c r="U112" s="274">
        <v>50661</v>
      </c>
      <c r="V112" s="274"/>
      <c r="W112" s="274"/>
      <c r="X112" s="607">
        <v>2.6</v>
      </c>
      <c r="Y112" s="95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152"/>
      <c r="AL112" s="470">
        <v>10713</v>
      </c>
      <c r="AM112" s="465">
        <v>7296</v>
      </c>
      <c r="AN112" s="465">
        <v>65634</v>
      </c>
      <c r="AO112" s="465"/>
      <c r="AP112" s="68"/>
      <c r="AQ112" s="68"/>
      <c r="AR112" s="68"/>
      <c r="AS112" s="68"/>
      <c r="AT112" s="68"/>
      <c r="AU112" s="466">
        <v>3417</v>
      </c>
      <c r="AV112" s="36">
        <v>0.31</v>
      </c>
      <c r="AW112" s="274">
        <v>2040.39</v>
      </c>
      <c r="AX112" s="22">
        <v>45.06</v>
      </c>
      <c r="AY112" s="22">
        <v>45.65</v>
      </c>
      <c r="AZ112" s="22">
        <v>9.29</v>
      </c>
      <c r="BA112" s="22">
        <v>22.39</v>
      </c>
      <c r="BB112" s="22">
        <v>1.15</v>
      </c>
      <c r="BC112" s="22">
        <v>22.93</v>
      </c>
      <c r="BD112" s="22">
        <v>40.21</v>
      </c>
      <c r="BE112" s="22">
        <v>2.12</v>
      </c>
      <c r="BF112" s="22">
        <v>11.2</v>
      </c>
      <c r="BG112" s="284"/>
      <c r="BH112" s="274">
        <v>44995</v>
      </c>
      <c r="BI112" s="61"/>
      <c r="BJ112" s="61"/>
      <c r="BK112" s="104">
        <v>191</v>
      </c>
      <c r="BL112" s="61"/>
      <c r="BM112" s="61"/>
      <c r="BN112" s="274">
        <v>1648.5</v>
      </c>
      <c r="BO112" s="289"/>
      <c r="BP112" s="450">
        <v>1648.5</v>
      </c>
      <c r="BQ112" s="28">
        <v>6.45</v>
      </c>
      <c r="BR112" s="61"/>
      <c r="BS112" s="61"/>
      <c r="BT112" s="29">
        <v>28.52</v>
      </c>
      <c r="BU112" s="61"/>
      <c r="BV112" s="61"/>
      <c r="BW112" s="29">
        <v>3.51</v>
      </c>
      <c r="BX112" s="29"/>
      <c r="BY112" s="29"/>
      <c r="BZ112" s="29">
        <v>3.65</v>
      </c>
      <c r="CA112" s="61"/>
      <c r="CB112" s="286"/>
      <c r="CC112" s="28">
        <v>6.97</v>
      </c>
      <c r="CD112" s="29">
        <v>6.86</v>
      </c>
      <c r="CE112" s="29">
        <v>14.41</v>
      </c>
      <c r="CF112" s="29">
        <v>14</v>
      </c>
      <c r="CG112" s="29">
        <v>0.158</v>
      </c>
      <c r="CH112" s="29">
        <v>0.007</v>
      </c>
      <c r="CI112" s="29">
        <v>0.001</v>
      </c>
      <c r="CJ112" s="30">
        <v>0.017</v>
      </c>
    </row>
    <row r="113" spans="1:88" ht="16.5" customHeight="1">
      <c r="A113" s="592"/>
      <c r="B113" s="3" t="s">
        <v>22</v>
      </c>
      <c r="C113" s="470">
        <v>4317.26</v>
      </c>
      <c r="D113" s="465">
        <v>22</v>
      </c>
      <c r="E113" s="465">
        <f t="shared" si="72"/>
        <v>776.81</v>
      </c>
      <c r="F113" s="465">
        <v>736.15</v>
      </c>
      <c r="G113" s="465">
        <v>40.66</v>
      </c>
      <c r="H113" s="465">
        <v>112</v>
      </c>
      <c r="I113" s="465">
        <v>62.37</v>
      </c>
      <c r="J113" s="465">
        <v>49.69</v>
      </c>
      <c r="K113" s="466"/>
      <c r="L113" s="470">
        <f t="shared" si="70"/>
        <v>4679.53</v>
      </c>
      <c r="M113" s="465">
        <v>4617.16</v>
      </c>
      <c r="N113" s="274">
        <v>62.37</v>
      </c>
      <c r="O113" s="274"/>
      <c r="P113" s="274">
        <v>24.74</v>
      </c>
      <c r="Q113" s="274">
        <f t="shared" si="73"/>
        <v>189.14834276475344</v>
      </c>
      <c r="R113" s="274"/>
      <c r="S113" s="274">
        <v>913</v>
      </c>
      <c r="T113" s="274">
        <v>1231</v>
      </c>
      <c r="U113" s="274">
        <v>38925</v>
      </c>
      <c r="V113" s="274"/>
      <c r="W113" s="274"/>
      <c r="X113" s="607">
        <v>2.5</v>
      </c>
      <c r="Y113" s="95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152"/>
      <c r="AL113" s="470">
        <v>8676</v>
      </c>
      <c r="AM113" s="465">
        <v>5926</v>
      </c>
      <c r="AN113" s="465">
        <v>53310</v>
      </c>
      <c r="AO113" s="465"/>
      <c r="AP113" s="68"/>
      <c r="AQ113" s="68"/>
      <c r="AR113" s="68"/>
      <c r="AS113" s="68"/>
      <c r="AT113" s="68"/>
      <c r="AU113" s="466">
        <v>2750</v>
      </c>
      <c r="AV113" s="36">
        <v>0.37</v>
      </c>
      <c r="AW113" s="274">
        <v>1912.3</v>
      </c>
      <c r="AX113" s="22">
        <v>47.37</v>
      </c>
      <c r="AY113" s="22">
        <v>42.11</v>
      </c>
      <c r="AZ113" s="22">
        <v>10.52</v>
      </c>
      <c r="BA113" s="22">
        <v>24.15</v>
      </c>
      <c r="BB113" s="22">
        <v>0.6</v>
      </c>
      <c r="BC113" s="22">
        <v>27.17</v>
      </c>
      <c r="BD113" s="22">
        <v>37.28</v>
      </c>
      <c r="BE113" s="22">
        <v>5.82</v>
      </c>
      <c r="BF113" s="22">
        <v>4.98</v>
      </c>
      <c r="BG113" s="284"/>
      <c r="BH113" s="274">
        <v>46410.4</v>
      </c>
      <c r="BI113" s="61"/>
      <c r="BJ113" s="61"/>
      <c r="BK113" s="104">
        <v>192</v>
      </c>
      <c r="BL113" s="61"/>
      <c r="BM113" s="61"/>
      <c r="BN113" s="274">
        <v>1227.1</v>
      </c>
      <c r="BO113" s="289"/>
      <c r="BP113" s="450">
        <v>1227.1</v>
      </c>
      <c r="BQ113" s="28">
        <v>5.15</v>
      </c>
      <c r="BR113" s="61"/>
      <c r="BS113" s="61"/>
      <c r="BT113" s="29">
        <v>30.85</v>
      </c>
      <c r="BU113" s="61"/>
      <c r="BV113" s="61"/>
      <c r="BW113" s="29">
        <v>2.43</v>
      </c>
      <c r="BX113" s="29"/>
      <c r="BY113" s="29"/>
      <c r="BZ113" s="29">
        <v>3.63</v>
      </c>
      <c r="CA113" s="61"/>
      <c r="CB113" s="286"/>
      <c r="CC113" s="28">
        <v>6.99</v>
      </c>
      <c r="CD113" s="29">
        <v>5.68</v>
      </c>
      <c r="CE113" s="29">
        <v>15.59</v>
      </c>
      <c r="CF113" s="29">
        <v>9</v>
      </c>
      <c r="CG113" s="29">
        <v>0.225</v>
      </c>
      <c r="CH113" s="78" t="s">
        <v>41</v>
      </c>
      <c r="CI113" s="29">
        <v>0.001</v>
      </c>
      <c r="CJ113" s="79" t="s">
        <v>41</v>
      </c>
    </row>
    <row r="114" spans="1:88" ht="16.5" customHeight="1">
      <c r="A114" s="592"/>
      <c r="B114" s="3" t="s">
        <v>23</v>
      </c>
      <c r="C114" s="470">
        <v>5864.76</v>
      </c>
      <c r="D114" s="465">
        <v>25</v>
      </c>
      <c r="E114" s="465">
        <f t="shared" si="72"/>
        <v>1092.03</v>
      </c>
      <c r="F114" s="465">
        <v>1033.78</v>
      </c>
      <c r="G114" s="465">
        <v>58.25</v>
      </c>
      <c r="H114" s="465">
        <v>122</v>
      </c>
      <c r="I114" s="465">
        <v>65.49</v>
      </c>
      <c r="J114" s="465">
        <v>56.65</v>
      </c>
      <c r="K114" s="466"/>
      <c r="L114" s="470">
        <f t="shared" si="70"/>
        <v>5923.4</v>
      </c>
      <c r="M114" s="465">
        <v>5857.91</v>
      </c>
      <c r="N114" s="274">
        <v>65.49</v>
      </c>
      <c r="O114" s="274"/>
      <c r="P114" s="274">
        <v>31</v>
      </c>
      <c r="Q114" s="274">
        <f t="shared" si="73"/>
        <v>191.0774193548387</v>
      </c>
      <c r="R114" s="274"/>
      <c r="S114" s="274">
        <v>896</v>
      </c>
      <c r="T114" s="274"/>
      <c r="U114" s="274">
        <v>47336</v>
      </c>
      <c r="V114" s="274"/>
      <c r="W114" s="274"/>
      <c r="X114" s="607">
        <v>3.5</v>
      </c>
      <c r="Y114" s="95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152"/>
      <c r="AL114" s="470">
        <v>9759</v>
      </c>
      <c r="AM114" s="465">
        <v>6734</v>
      </c>
      <c r="AN114" s="465">
        <v>60579</v>
      </c>
      <c r="AO114" s="465"/>
      <c r="AP114" s="68"/>
      <c r="AQ114" s="68"/>
      <c r="AR114" s="68"/>
      <c r="AS114" s="68"/>
      <c r="AT114" s="68"/>
      <c r="AU114" s="466">
        <v>3025</v>
      </c>
      <c r="AV114" s="36">
        <v>0.43</v>
      </c>
      <c r="AW114" s="274">
        <v>1427.05</v>
      </c>
      <c r="AX114" s="22">
        <v>55.19</v>
      </c>
      <c r="AY114" s="22">
        <v>35.5</v>
      </c>
      <c r="AZ114" s="22">
        <v>9.31</v>
      </c>
      <c r="BA114" s="22">
        <v>18.1</v>
      </c>
      <c r="BB114" s="22">
        <v>3.67</v>
      </c>
      <c r="BC114" s="22">
        <v>24.43</v>
      </c>
      <c r="BD114" s="22">
        <v>36.27</v>
      </c>
      <c r="BE114" s="22">
        <v>6.33</v>
      </c>
      <c r="BF114" s="22">
        <v>11.2</v>
      </c>
      <c r="BG114" s="284"/>
      <c r="BH114" s="274">
        <v>43860.2</v>
      </c>
      <c r="BI114" s="61"/>
      <c r="BJ114" s="61"/>
      <c r="BK114" s="104">
        <v>191</v>
      </c>
      <c r="BL114" s="61"/>
      <c r="BM114" s="61"/>
      <c r="BN114" s="274">
        <v>1742</v>
      </c>
      <c r="BO114" s="289"/>
      <c r="BP114" s="450">
        <v>1742</v>
      </c>
      <c r="BQ114" s="28">
        <v>3.89</v>
      </c>
      <c r="BR114" s="61"/>
      <c r="BS114" s="61"/>
      <c r="BT114" s="29">
        <v>31.13</v>
      </c>
      <c r="BU114" s="61"/>
      <c r="BV114" s="61"/>
      <c r="BW114" s="29">
        <v>1.64</v>
      </c>
      <c r="BX114" s="29"/>
      <c r="BY114" s="29"/>
      <c r="BZ114" s="29">
        <v>3.59</v>
      </c>
      <c r="CA114" s="61"/>
      <c r="CB114" s="286"/>
      <c r="CC114" s="28">
        <v>7.62</v>
      </c>
      <c r="CD114" s="29">
        <v>5.04</v>
      </c>
      <c r="CE114" s="29">
        <v>16.13</v>
      </c>
      <c r="CF114" s="29">
        <v>28.75</v>
      </c>
      <c r="CG114" s="78" t="s">
        <v>38</v>
      </c>
      <c r="CH114" s="78" t="s">
        <v>41</v>
      </c>
      <c r="CI114" s="29">
        <v>0.002</v>
      </c>
      <c r="CJ114" s="79" t="s">
        <v>41</v>
      </c>
    </row>
    <row r="115" spans="1:88" ht="16.5" customHeight="1">
      <c r="A115" s="592"/>
      <c r="B115" s="3" t="s">
        <v>24</v>
      </c>
      <c r="C115" s="470">
        <v>5827.56</v>
      </c>
      <c r="D115" s="465">
        <v>25</v>
      </c>
      <c r="E115" s="465">
        <f t="shared" si="72"/>
        <v>964.44</v>
      </c>
      <c r="F115" s="465">
        <v>910.45</v>
      </c>
      <c r="G115" s="465">
        <v>53.99</v>
      </c>
      <c r="H115" s="465">
        <v>436</v>
      </c>
      <c r="I115" s="465">
        <v>1.47</v>
      </c>
      <c r="J115" s="465">
        <v>434.56</v>
      </c>
      <c r="K115" s="466"/>
      <c r="L115" s="470">
        <f t="shared" si="70"/>
        <v>4707.665</v>
      </c>
      <c r="M115" s="465">
        <v>4706.195</v>
      </c>
      <c r="N115" s="274">
        <v>1.47</v>
      </c>
      <c r="O115" s="274"/>
      <c r="P115" s="274">
        <v>25.37</v>
      </c>
      <c r="Q115" s="274">
        <f t="shared" si="73"/>
        <v>185.5603074497438</v>
      </c>
      <c r="R115" s="274"/>
      <c r="S115" s="274">
        <v>893</v>
      </c>
      <c r="T115" s="274">
        <v>1911</v>
      </c>
      <c r="U115" s="274">
        <v>36715</v>
      </c>
      <c r="V115" s="274"/>
      <c r="W115" s="274"/>
      <c r="X115" s="607">
        <v>3.1</v>
      </c>
      <c r="Y115" s="95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152"/>
      <c r="AL115" s="470">
        <v>7787</v>
      </c>
      <c r="AM115" s="465">
        <v>5295</v>
      </c>
      <c r="AN115" s="465">
        <v>47634</v>
      </c>
      <c r="AO115" s="465"/>
      <c r="AP115" s="68"/>
      <c r="AQ115" s="68"/>
      <c r="AR115" s="68"/>
      <c r="AS115" s="68"/>
      <c r="AT115" s="68"/>
      <c r="AU115" s="466">
        <v>2492</v>
      </c>
      <c r="AV115" s="36">
        <v>0.29</v>
      </c>
      <c r="AW115" s="274">
        <v>1854.82</v>
      </c>
      <c r="AX115" s="22">
        <v>51.29</v>
      </c>
      <c r="AY115" s="22">
        <v>40.26</v>
      </c>
      <c r="AZ115" s="22">
        <v>8.45</v>
      </c>
      <c r="BA115" s="22">
        <v>30.5</v>
      </c>
      <c r="BB115" s="22">
        <v>2.84</v>
      </c>
      <c r="BC115" s="22">
        <v>28.01</v>
      </c>
      <c r="BD115" s="22">
        <v>31.21</v>
      </c>
      <c r="BE115" s="22">
        <v>2.48</v>
      </c>
      <c r="BF115" s="22">
        <v>4.96</v>
      </c>
      <c r="BG115" s="284"/>
      <c r="BH115" s="274">
        <v>42342.3</v>
      </c>
      <c r="BI115" s="61"/>
      <c r="BJ115" s="61"/>
      <c r="BK115" s="104">
        <v>194</v>
      </c>
      <c r="BL115" s="61"/>
      <c r="BM115" s="61"/>
      <c r="BN115" s="274">
        <v>1525.75</v>
      </c>
      <c r="BO115" s="289"/>
      <c r="BP115" s="450">
        <v>1525.75</v>
      </c>
      <c r="BQ115" s="28">
        <v>4.19</v>
      </c>
      <c r="BR115" s="61"/>
      <c r="BS115" s="61"/>
      <c r="BT115" s="29">
        <v>37.42</v>
      </c>
      <c r="BU115" s="61"/>
      <c r="BV115" s="61"/>
      <c r="BW115" s="29">
        <v>1.68</v>
      </c>
      <c r="BX115" s="29"/>
      <c r="BY115" s="29"/>
      <c r="BZ115" s="29">
        <v>3.64</v>
      </c>
      <c r="CA115" s="61"/>
      <c r="CB115" s="286"/>
      <c r="CC115" s="28">
        <v>7.56</v>
      </c>
      <c r="CD115" s="29">
        <v>6.4</v>
      </c>
      <c r="CE115" s="29">
        <v>19.95</v>
      </c>
      <c r="CF115" s="29">
        <v>13</v>
      </c>
      <c r="CG115" s="78" t="s">
        <v>41</v>
      </c>
      <c r="CH115" s="78" t="s">
        <v>41</v>
      </c>
      <c r="CI115" s="78" t="s">
        <v>41</v>
      </c>
      <c r="CJ115" s="79" t="s">
        <v>41</v>
      </c>
    </row>
    <row r="116" spans="1:88" ht="16.5" customHeight="1">
      <c r="A116" s="592"/>
      <c r="B116" s="3" t="s">
        <v>25</v>
      </c>
      <c r="C116" s="470">
        <v>5403.31</v>
      </c>
      <c r="D116" s="465">
        <v>26</v>
      </c>
      <c r="E116" s="465">
        <f t="shared" si="72"/>
        <v>1000.19</v>
      </c>
      <c r="F116" s="465">
        <v>961.47</v>
      </c>
      <c r="G116" s="465">
        <v>38.72</v>
      </c>
      <c r="H116" s="465">
        <v>419</v>
      </c>
      <c r="I116" s="465">
        <v>117.45</v>
      </c>
      <c r="J116" s="465">
        <v>301.06</v>
      </c>
      <c r="K116" s="466"/>
      <c r="L116" s="470">
        <f t="shared" si="70"/>
        <v>5829.575</v>
      </c>
      <c r="M116" s="465">
        <v>5712.125</v>
      </c>
      <c r="N116" s="274">
        <v>117.45</v>
      </c>
      <c r="O116" s="274"/>
      <c r="P116" s="274">
        <v>31</v>
      </c>
      <c r="Q116" s="274">
        <f t="shared" si="73"/>
        <v>188.05080645161289</v>
      </c>
      <c r="R116" s="274"/>
      <c r="S116" s="274">
        <v>898</v>
      </c>
      <c r="T116" s="274"/>
      <c r="U116" s="274">
        <v>51293</v>
      </c>
      <c r="V116" s="274"/>
      <c r="W116" s="274"/>
      <c r="X116" s="607">
        <v>2.5</v>
      </c>
      <c r="Y116" s="95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152"/>
      <c r="AL116" s="470">
        <v>9479</v>
      </c>
      <c r="AM116" s="465">
        <v>6446</v>
      </c>
      <c r="AN116" s="465">
        <v>55255</v>
      </c>
      <c r="AO116" s="465"/>
      <c r="AP116" s="68"/>
      <c r="AQ116" s="68"/>
      <c r="AR116" s="68"/>
      <c r="AS116" s="68"/>
      <c r="AT116" s="68"/>
      <c r="AU116" s="466">
        <v>3033</v>
      </c>
      <c r="AV116" s="36">
        <v>0.35</v>
      </c>
      <c r="AW116" s="274">
        <v>1574.61</v>
      </c>
      <c r="AX116" s="22">
        <v>64.67</v>
      </c>
      <c r="AY116" s="22">
        <v>31.43</v>
      </c>
      <c r="AZ116" s="22">
        <v>3.9</v>
      </c>
      <c r="BA116" s="22">
        <v>32.41</v>
      </c>
      <c r="BB116" s="22">
        <v>0.36</v>
      </c>
      <c r="BC116" s="22">
        <v>23.05</v>
      </c>
      <c r="BD116" s="22">
        <v>38.04</v>
      </c>
      <c r="BE116" s="22">
        <v>2.21</v>
      </c>
      <c r="BF116" s="22">
        <v>3.93</v>
      </c>
      <c r="BG116" s="284"/>
      <c r="BH116" s="274">
        <v>39321.9</v>
      </c>
      <c r="BI116" s="61"/>
      <c r="BJ116" s="61"/>
      <c r="BK116" s="104">
        <v>190</v>
      </c>
      <c r="BL116" s="61"/>
      <c r="BM116" s="61"/>
      <c r="BN116" s="274">
        <v>1939.84</v>
      </c>
      <c r="BO116" s="289"/>
      <c r="BP116" s="450">
        <v>1939.84</v>
      </c>
      <c r="BQ116" s="28">
        <v>4.32</v>
      </c>
      <c r="BR116" s="61"/>
      <c r="BS116" s="61"/>
      <c r="BT116" s="29">
        <v>36.31</v>
      </c>
      <c r="BU116" s="61"/>
      <c r="BV116" s="61"/>
      <c r="BW116" s="29">
        <v>1.84</v>
      </c>
      <c r="BX116" s="29"/>
      <c r="BY116" s="29"/>
      <c r="BZ116" s="29">
        <v>3.64</v>
      </c>
      <c r="CA116" s="61"/>
      <c r="CB116" s="286"/>
      <c r="CC116" s="28">
        <v>7.53</v>
      </c>
      <c r="CD116" s="29">
        <v>4.62</v>
      </c>
      <c r="CE116" s="29">
        <v>17.53</v>
      </c>
      <c r="CF116" s="29">
        <v>15.5</v>
      </c>
      <c r="CG116" s="78" t="s">
        <v>41</v>
      </c>
      <c r="CH116" s="78" t="s">
        <v>41</v>
      </c>
      <c r="CI116" s="78" t="s">
        <v>41</v>
      </c>
      <c r="CJ116" s="79" t="s">
        <v>41</v>
      </c>
    </row>
    <row r="117" spans="1:88" ht="16.5" customHeight="1">
      <c r="A117" s="592"/>
      <c r="B117" s="3" t="s">
        <v>26</v>
      </c>
      <c r="C117" s="470">
        <v>6196.97</v>
      </c>
      <c r="D117" s="465">
        <v>26</v>
      </c>
      <c r="E117" s="465">
        <f t="shared" si="72"/>
        <v>1079.76</v>
      </c>
      <c r="F117" s="465">
        <v>1040.17</v>
      </c>
      <c r="G117" s="465">
        <v>39.59</v>
      </c>
      <c r="H117" s="465">
        <v>419</v>
      </c>
      <c r="I117" s="465">
        <v>48.22</v>
      </c>
      <c r="J117" s="465">
        <v>370.64</v>
      </c>
      <c r="K117" s="466"/>
      <c r="L117" s="470">
        <f t="shared" si="70"/>
        <v>5571.89</v>
      </c>
      <c r="M117" s="465">
        <v>5523.67</v>
      </c>
      <c r="N117" s="274">
        <v>48.22</v>
      </c>
      <c r="O117" s="274"/>
      <c r="P117" s="274">
        <v>31</v>
      </c>
      <c r="Q117" s="274">
        <f t="shared" si="73"/>
        <v>179.7383870967742</v>
      </c>
      <c r="R117" s="274"/>
      <c r="S117" s="274">
        <v>900</v>
      </c>
      <c r="T117" s="274"/>
      <c r="U117" s="274">
        <v>45945</v>
      </c>
      <c r="V117" s="274"/>
      <c r="W117" s="274"/>
      <c r="X117" s="607">
        <v>3.2</v>
      </c>
      <c r="Y117" s="95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152"/>
      <c r="AL117" s="470">
        <v>7766</v>
      </c>
      <c r="AM117" s="465">
        <v>5359</v>
      </c>
      <c r="AN117" s="465">
        <v>45937</v>
      </c>
      <c r="AO117" s="465"/>
      <c r="AP117" s="68"/>
      <c r="AQ117" s="68"/>
      <c r="AR117" s="68"/>
      <c r="AS117" s="68"/>
      <c r="AT117" s="68"/>
      <c r="AU117" s="466">
        <v>2407</v>
      </c>
      <c r="AV117" s="36">
        <v>0.32</v>
      </c>
      <c r="AW117" s="274">
        <v>2041.95</v>
      </c>
      <c r="AX117" s="22">
        <v>51.9</v>
      </c>
      <c r="AY117" s="22">
        <v>41.14</v>
      </c>
      <c r="AZ117" s="22">
        <v>6.96</v>
      </c>
      <c r="BA117" s="22">
        <v>16</v>
      </c>
      <c r="BB117" s="22">
        <v>0.49</v>
      </c>
      <c r="BC117" s="22">
        <v>34.24</v>
      </c>
      <c r="BD117" s="22">
        <v>34.05</v>
      </c>
      <c r="BE117" s="22">
        <v>8.59</v>
      </c>
      <c r="BF117" s="22">
        <v>6.63</v>
      </c>
      <c r="BG117" s="284"/>
      <c r="BH117" s="274">
        <v>39776.3</v>
      </c>
      <c r="BI117" s="61"/>
      <c r="BJ117" s="61"/>
      <c r="BK117" s="104">
        <v>190</v>
      </c>
      <c r="BL117" s="61"/>
      <c r="BM117" s="61"/>
      <c r="BN117" s="274">
        <v>1807.8</v>
      </c>
      <c r="BO117" s="289"/>
      <c r="BP117" s="450">
        <v>1807.8</v>
      </c>
      <c r="BQ117" s="28">
        <v>4.03</v>
      </c>
      <c r="BR117" s="61"/>
      <c r="BS117" s="61"/>
      <c r="BT117" s="29">
        <v>25.78</v>
      </c>
      <c r="BU117" s="61"/>
      <c r="BV117" s="61"/>
      <c r="BW117" s="29">
        <v>1.77</v>
      </c>
      <c r="BX117" s="29"/>
      <c r="BY117" s="29"/>
      <c r="BZ117" s="29">
        <v>3.83</v>
      </c>
      <c r="CA117" s="61"/>
      <c r="CB117" s="286"/>
      <c r="CC117" s="28">
        <v>6.95</v>
      </c>
      <c r="CD117" s="29">
        <v>8.98</v>
      </c>
      <c r="CE117" s="29">
        <v>15.77</v>
      </c>
      <c r="CF117" s="29">
        <v>15.75</v>
      </c>
      <c r="CG117" s="78" t="s">
        <v>41</v>
      </c>
      <c r="CH117" s="78" t="s">
        <v>41</v>
      </c>
      <c r="CI117" s="78" t="s">
        <v>41</v>
      </c>
      <c r="CJ117" s="79" t="s">
        <v>41</v>
      </c>
    </row>
    <row r="118" spans="1:88" ht="16.5" customHeight="1">
      <c r="A118" s="592"/>
      <c r="B118" s="3" t="s">
        <v>27</v>
      </c>
      <c r="C118" s="470">
        <v>3565.86</v>
      </c>
      <c r="D118" s="465">
        <v>18</v>
      </c>
      <c r="E118" s="465">
        <f t="shared" si="72"/>
        <v>518.9300000000001</v>
      </c>
      <c r="F118" s="465">
        <v>471.42</v>
      </c>
      <c r="G118" s="465">
        <v>47.51</v>
      </c>
      <c r="H118" s="465">
        <v>210</v>
      </c>
      <c r="I118" s="465">
        <v>24.55</v>
      </c>
      <c r="J118" s="465">
        <v>185.2</v>
      </c>
      <c r="K118" s="466"/>
      <c r="L118" s="470">
        <f t="shared" si="70"/>
        <v>2378.65</v>
      </c>
      <c r="M118" s="465">
        <v>2354.1</v>
      </c>
      <c r="N118" s="274">
        <v>24.55</v>
      </c>
      <c r="O118" s="274"/>
      <c r="P118" s="274">
        <v>12.58</v>
      </c>
      <c r="Q118" s="274">
        <f t="shared" si="73"/>
        <v>189.0818759936407</v>
      </c>
      <c r="R118" s="274"/>
      <c r="S118" s="274">
        <v>900</v>
      </c>
      <c r="T118" s="274">
        <v>4456</v>
      </c>
      <c r="U118" s="274">
        <v>19430</v>
      </c>
      <c r="V118" s="274"/>
      <c r="W118" s="274"/>
      <c r="X118" s="607">
        <v>3.5</v>
      </c>
      <c r="Y118" s="95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152"/>
      <c r="AL118" s="470">
        <v>3925</v>
      </c>
      <c r="AM118" s="465">
        <v>2512</v>
      </c>
      <c r="AN118" s="465">
        <v>21533</v>
      </c>
      <c r="AO118" s="465"/>
      <c r="AP118" s="68"/>
      <c r="AQ118" s="68"/>
      <c r="AR118" s="68"/>
      <c r="AS118" s="68"/>
      <c r="AT118" s="68"/>
      <c r="AU118" s="466">
        <v>1413</v>
      </c>
      <c r="AV118" s="36">
        <v>0.34</v>
      </c>
      <c r="AW118" s="274">
        <v>1730</v>
      </c>
      <c r="AX118" s="22">
        <v>55.01</v>
      </c>
      <c r="AY118" s="22">
        <v>39.09</v>
      </c>
      <c r="AZ118" s="22">
        <v>5.9</v>
      </c>
      <c r="BA118" s="22">
        <v>16.78</v>
      </c>
      <c r="BB118" s="22">
        <v>2.49</v>
      </c>
      <c r="BC118" s="22">
        <v>23.42</v>
      </c>
      <c r="BD118" s="22">
        <v>38.37</v>
      </c>
      <c r="BE118" s="22">
        <v>7.48</v>
      </c>
      <c r="BF118" s="22">
        <v>11.46</v>
      </c>
      <c r="BG118" s="284"/>
      <c r="BH118" s="274">
        <v>37870.7</v>
      </c>
      <c r="BI118" s="61"/>
      <c r="BJ118" s="61"/>
      <c r="BK118" s="104">
        <v>190</v>
      </c>
      <c r="BL118" s="61"/>
      <c r="BM118" s="61"/>
      <c r="BN118" s="274">
        <v>799.07</v>
      </c>
      <c r="BO118" s="289"/>
      <c r="BP118" s="450">
        <v>799.07</v>
      </c>
      <c r="BQ118" s="28">
        <v>3.66</v>
      </c>
      <c r="BR118" s="61"/>
      <c r="BS118" s="61"/>
      <c r="BT118" s="29">
        <v>21.67</v>
      </c>
      <c r="BU118" s="61"/>
      <c r="BV118" s="61"/>
      <c r="BW118" s="29">
        <v>1.45</v>
      </c>
      <c r="BX118" s="29"/>
      <c r="BY118" s="29"/>
      <c r="BZ118" s="29">
        <v>4.19</v>
      </c>
      <c r="CA118" s="61"/>
      <c r="CB118" s="286"/>
      <c r="CC118" s="28">
        <v>6.75</v>
      </c>
      <c r="CD118" s="29">
        <v>2.47</v>
      </c>
      <c r="CE118" s="29">
        <v>13.96</v>
      </c>
      <c r="CF118" s="29">
        <v>11.5</v>
      </c>
      <c r="CG118" s="78" t="s">
        <v>41</v>
      </c>
      <c r="CH118" s="78" t="s">
        <v>41</v>
      </c>
      <c r="CI118" s="78" t="s">
        <v>41</v>
      </c>
      <c r="CJ118" s="79" t="s">
        <v>41</v>
      </c>
    </row>
    <row r="119" spans="1:88" ht="16.5" customHeight="1">
      <c r="A119" s="592"/>
      <c r="B119" s="3" t="s">
        <v>28</v>
      </c>
      <c r="C119" s="470">
        <v>5583.38</v>
      </c>
      <c r="D119" s="465">
        <v>25</v>
      </c>
      <c r="E119" s="465">
        <f t="shared" si="72"/>
        <v>935.87</v>
      </c>
      <c r="F119" s="465">
        <v>889.03</v>
      </c>
      <c r="G119" s="465">
        <v>46.84</v>
      </c>
      <c r="H119" s="465">
        <v>270</v>
      </c>
      <c r="I119" s="465">
        <v>16.07</v>
      </c>
      <c r="J119" s="465">
        <v>253.84</v>
      </c>
      <c r="K119" s="466"/>
      <c r="L119" s="470">
        <f t="shared" si="70"/>
        <v>5796.16</v>
      </c>
      <c r="M119" s="465">
        <v>5780.09</v>
      </c>
      <c r="N119" s="274">
        <v>16.07</v>
      </c>
      <c r="O119" s="274"/>
      <c r="P119" s="274">
        <v>31</v>
      </c>
      <c r="Q119" s="274">
        <f t="shared" si="73"/>
        <v>186.97290322580645</v>
      </c>
      <c r="R119" s="274"/>
      <c r="S119" s="274">
        <v>922</v>
      </c>
      <c r="T119" s="274"/>
      <c r="U119" s="274">
        <v>47002</v>
      </c>
      <c r="V119" s="274"/>
      <c r="W119" s="274"/>
      <c r="X119" s="607">
        <v>2.8</v>
      </c>
      <c r="Y119" s="95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152"/>
      <c r="AL119" s="470">
        <v>11169</v>
      </c>
      <c r="AM119" s="465">
        <v>7059</v>
      </c>
      <c r="AN119" s="465">
        <v>60510</v>
      </c>
      <c r="AO119" s="465"/>
      <c r="AP119" s="68"/>
      <c r="AQ119" s="68"/>
      <c r="AR119" s="68"/>
      <c r="AS119" s="68"/>
      <c r="AT119" s="68"/>
      <c r="AU119" s="466">
        <v>4110</v>
      </c>
      <c r="AV119" s="36">
        <v>0.38</v>
      </c>
      <c r="AW119" s="274">
        <v>1631.5</v>
      </c>
      <c r="AX119" s="22">
        <v>56.33</v>
      </c>
      <c r="AY119" s="22">
        <v>36.6</v>
      </c>
      <c r="AZ119" s="22">
        <v>7.07</v>
      </c>
      <c r="BA119" s="22">
        <v>20.96</v>
      </c>
      <c r="BB119" s="22">
        <v>0.64</v>
      </c>
      <c r="BC119" s="22">
        <v>20.6</v>
      </c>
      <c r="BD119" s="22">
        <v>51.1</v>
      </c>
      <c r="BE119" s="22">
        <v>3.56</v>
      </c>
      <c r="BF119" s="22">
        <v>3.14</v>
      </c>
      <c r="BG119" s="284"/>
      <c r="BH119" s="274">
        <v>44016.5</v>
      </c>
      <c r="BI119" s="61"/>
      <c r="BJ119" s="61"/>
      <c r="BK119" s="104">
        <v>190</v>
      </c>
      <c r="BL119" s="61"/>
      <c r="BM119" s="61"/>
      <c r="BN119" s="274">
        <v>1433.41</v>
      </c>
      <c r="BO119" s="289"/>
      <c r="BP119" s="450">
        <v>1433.41</v>
      </c>
      <c r="BQ119" s="28">
        <v>5.16</v>
      </c>
      <c r="BR119" s="61"/>
      <c r="BS119" s="61"/>
      <c r="BT119" s="29">
        <v>32.14</v>
      </c>
      <c r="BU119" s="61"/>
      <c r="BV119" s="61"/>
      <c r="BW119" s="29">
        <v>1.62</v>
      </c>
      <c r="BX119" s="29"/>
      <c r="BY119" s="29"/>
      <c r="BZ119" s="29">
        <v>4.13</v>
      </c>
      <c r="CA119" s="61"/>
      <c r="CB119" s="286"/>
      <c r="CC119" s="28">
        <v>7.43</v>
      </c>
      <c r="CD119" s="29">
        <v>1.99</v>
      </c>
      <c r="CE119" s="29">
        <v>9.34</v>
      </c>
      <c r="CF119" s="29">
        <v>13.75</v>
      </c>
      <c r="CG119" s="78" t="s">
        <v>41</v>
      </c>
      <c r="CH119" s="78" t="s">
        <v>41</v>
      </c>
      <c r="CI119" s="78" t="s">
        <v>41</v>
      </c>
      <c r="CJ119" s="79" t="s">
        <v>41</v>
      </c>
    </row>
    <row r="120" spans="1:88" ht="16.5" customHeight="1">
      <c r="A120" s="592"/>
      <c r="B120" s="3" t="s">
        <v>29</v>
      </c>
      <c r="C120" s="470">
        <v>5491.83</v>
      </c>
      <c r="D120" s="465">
        <v>24</v>
      </c>
      <c r="E120" s="465">
        <f t="shared" si="72"/>
        <v>1104.51</v>
      </c>
      <c r="F120" s="465">
        <v>1041.18</v>
      </c>
      <c r="G120" s="465">
        <v>63.33</v>
      </c>
      <c r="H120" s="465">
        <v>86</v>
      </c>
      <c r="I120" s="465">
        <v>85.98</v>
      </c>
      <c r="J120" s="465"/>
      <c r="K120" s="466"/>
      <c r="L120" s="470">
        <f t="shared" si="70"/>
        <v>5677.44</v>
      </c>
      <c r="M120" s="465">
        <v>5591.46</v>
      </c>
      <c r="N120" s="274">
        <v>85.98</v>
      </c>
      <c r="O120" s="274"/>
      <c r="P120" s="274">
        <v>30</v>
      </c>
      <c r="Q120" s="274">
        <f t="shared" si="73"/>
        <v>189.248</v>
      </c>
      <c r="R120" s="274"/>
      <c r="S120" s="274">
        <v>922</v>
      </c>
      <c r="T120" s="274"/>
      <c r="U120" s="274">
        <v>43520</v>
      </c>
      <c r="V120" s="274"/>
      <c r="W120" s="274"/>
      <c r="X120" s="607">
        <v>2.7</v>
      </c>
      <c r="Y120" s="95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152"/>
      <c r="AL120" s="470">
        <v>10606</v>
      </c>
      <c r="AM120" s="465">
        <v>6576</v>
      </c>
      <c r="AN120" s="465">
        <v>56369</v>
      </c>
      <c r="AO120" s="465"/>
      <c r="AP120" s="68"/>
      <c r="AQ120" s="68"/>
      <c r="AR120" s="68"/>
      <c r="AS120" s="68"/>
      <c r="AT120" s="68"/>
      <c r="AU120" s="466">
        <v>4030</v>
      </c>
      <c r="AV120" s="36">
        <v>0.34</v>
      </c>
      <c r="AW120" s="274">
        <v>2017.77</v>
      </c>
      <c r="AX120" s="22">
        <v>48.09</v>
      </c>
      <c r="AY120" s="22">
        <v>39.83</v>
      </c>
      <c r="AZ120" s="22">
        <v>12.08</v>
      </c>
      <c r="BA120" s="22">
        <v>23.64</v>
      </c>
      <c r="BB120" s="22">
        <v>2.57</v>
      </c>
      <c r="BC120" s="22">
        <v>23.48</v>
      </c>
      <c r="BD120" s="22">
        <v>46.71</v>
      </c>
      <c r="BE120" s="22">
        <v>1.04</v>
      </c>
      <c r="BF120" s="22">
        <v>2.56</v>
      </c>
      <c r="BG120" s="284"/>
      <c r="BH120" s="274">
        <v>40669.2</v>
      </c>
      <c r="BI120" s="61"/>
      <c r="BJ120" s="61"/>
      <c r="BK120" s="104">
        <v>189</v>
      </c>
      <c r="BL120" s="61"/>
      <c r="BM120" s="61"/>
      <c r="BN120" s="274">
        <v>1383.49</v>
      </c>
      <c r="BO120" s="289"/>
      <c r="BP120" s="450">
        <v>1383.49</v>
      </c>
      <c r="BQ120" s="28">
        <v>3.62</v>
      </c>
      <c r="BR120" s="61"/>
      <c r="BS120" s="61"/>
      <c r="BT120" s="29">
        <v>32.59</v>
      </c>
      <c r="BU120" s="61"/>
      <c r="BV120" s="61"/>
      <c r="BW120" s="29">
        <v>1.86</v>
      </c>
      <c r="BX120" s="29"/>
      <c r="BY120" s="29"/>
      <c r="BZ120" s="29">
        <v>4.46</v>
      </c>
      <c r="CA120" s="61"/>
      <c r="CB120" s="286"/>
      <c r="CC120" s="28">
        <v>6.95</v>
      </c>
      <c r="CD120" s="29">
        <v>2.92</v>
      </c>
      <c r="CE120" s="29">
        <v>8.73</v>
      </c>
      <c r="CF120" s="29">
        <v>5.5</v>
      </c>
      <c r="CG120" s="29">
        <v>0.015</v>
      </c>
      <c r="CH120" s="29">
        <v>0.011</v>
      </c>
      <c r="CI120" s="29">
        <v>0.001</v>
      </c>
      <c r="CJ120" s="79" t="s">
        <v>41</v>
      </c>
    </row>
    <row r="121" spans="1:88" ht="16.5" customHeight="1">
      <c r="A121" s="592"/>
      <c r="B121" s="3" t="s">
        <v>30</v>
      </c>
      <c r="C121" s="470">
        <v>5669.47</v>
      </c>
      <c r="D121" s="465">
        <v>25</v>
      </c>
      <c r="E121" s="465">
        <f t="shared" si="72"/>
        <v>936.65</v>
      </c>
      <c r="F121" s="465">
        <v>909.26</v>
      </c>
      <c r="G121" s="465">
        <v>27.39</v>
      </c>
      <c r="H121" s="461">
        <v>155</v>
      </c>
      <c r="I121" s="465">
        <v>114.31</v>
      </c>
      <c r="J121" s="465">
        <v>40.97</v>
      </c>
      <c r="K121" s="466"/>
      <c r="L121" s="470">
        <f t="shared" si="70"/>
        <v>6084.715</v>
      </c>
      <c r="M121" s="465">
        <v>5970.405</v>
      </c>
      <c r="N121" s="274">
        <v>114.31</v>
      </c>
      <c r="O121" s="274"/>
      <c r="P121" s="274">
        <v>30.65</v>
      </c>
      <c r="Q121" s="274">
        <f t="shared" si="73"/>
        <v>198.5225122349103</v>
      </c>
      <c r="R121" s="274"/>
      <c r="S121" s="274">
        <v>907</v>
      </c>
      <c r="T121" s="274"/>
      <c r="U121" s="274">
        <v>40459</v>
      </c>
      <c r="V121" s="274"/>
      <c r="W121" s="274"/>
      <c r="X121" s="607">
        <v>1.8</v>
      </c>
      <c r="Y121" s="95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152"/>
      <c r="AL121" s="470">
        <v>9694</v>
      </c>
      <c r="AM121" s="465">
        <v>6204</v>
      </c>
      <c r="AN121" s="465">
        <v>53181</v>
      </c>
      <c r="AO121" s="465"/>
      <c r="AP121" s="68"/>
      <c r="AQ121" s="68"/>
      <c r="AR121" s="68"/>
      <c r="AS121" s="68"/>
      <c r="AT121" s="68"/>
      <c r="AU121" s="466">
        <v>3490</v>
      </c>
      <c r="AV121" s="36">
        <v>0.36</v>
      </c>
      <c r="AW121" s="274">
        <v>1772.64</v>
      </c>
      <c r="AX121" s="22">
        <v>54.43</v>
      </c>
      <c r="AY121" s="22">
        <v>38.11</v>
      </c>
      <c r="AZ121" s="22">
        <v>7.46</v>
      </c>
      <c r="BA121" s="22">
        <v>13.05</v>
      </c>
      <c r="BB121" s="22">
        <v>1.66</v>
      </c>
      <c r="BC121" s="22">
        <v>20.81</v>
      </c>
      <c r="BD121" s="22">
        <v>53.54</v>
      </c>
      <c r="BE121" s="22">
        <v>9.88</v>
      </c>
      <c r="BF121" s="22">
        <v>1.06</v>
      </c>
      <c r="BG121" s="284"/>
      <c r="BH121" s="274">
        <v>38964.7</v>
      </c>
      <c r="BI121" s="61"/>
      <c r="BJ121" s="61"/>
      <c r="BK121" s="104">
        <v>190</v>
      </c>
      <c r="BL121" s="61"/>
      <c r="BM121" s="61"/>
      <c r="BN121" s="274">
        <v>1310.8</v>
      </c>
      <c r="BO121" s="289"/>
      <c r="BP121" s="450">
        <v>1310.8</v>
      </c>
      <c r="BQ121" s="28">
        <v>3.75</v>
      </c>
      <c r="BR121" s="61"/>
      <c r="BS121" s="61"/>
      <c r="BT121" s="29">
        <v>28.73</v>
      </c>
      <c r="BU121" s="61"/>
      <c r="BV121" s="61"/>
      <c r="BW121" s="29">
        <v>1.79</v>
      </c>
      <c r="BX121" s="29"/>
      <c r="BY121" s="29"/>
      <c r="BZ121" s="29">
        <v>4.79</v>
      </c>
      <c r="CA121" s="61"/>
      <c r="CB121" s="286"/>
      <c r="CC121" s="28">
        <v>7.11</v>
      </c>
      <c r="CD121" s="29">
        <v>10.66</v>
      </c>
      <c r="CE121" s="29">
        <v>14.71</v>
      </c>
      <c r="CF121" s="29">
        <v>9.25</v>
      </c>
      <c r="CG121" s="29">
        <v>0.088</v>
      </c>
      <c r="CH121" s="29">
        <v>0.206</v>
      </c>
      <c r="CI121" s="29">
        <v>0.001</v>
      </c>
      <c r="CJ121" s="79" t="s">
        <v>41</v>
      </c>
    </row>
    <row r="122" spans="1:88" ht="16.5" customHeight="1">
      <c r="A122" s="478" t="s">
        <v>40</v>
      </c>
      <c r="B122" s="10" t="s">
        <v>48</v>
      </c>
      <c r="C122" s="271">
        <f>SUM(C123:C134)</f>
        <v>188402.1</v>
      </c>
      <c r="D122" s="669">
        <f>SUM(D123:D134)</f>
        <v>348</v>
      </c>
      <c r="E122" s="66">
        <f aca="true" t="shared" si="76" ref="E122:E133">SUM(F122+G122)</f>
        <v>25167.170000000002</v>
      </c>
      <c r="F122" s="272">
        <f aca="true" t="shared" si="77" ref="F122:N122">SUM(F123:F134)</f>
        <v>22780.97</v>
      </c>
      <c r="G122" s="272">
        <f t="shared" si="77"/>
        <v>2386.2000000000003</v>
      </c>
      <c r="H122" s="272">
        <f>SUM(H123:H134)</f>
        <v>11283</v>
      </c>
      <c r="I122" s="272">
        <f>SUM(I123:I134)</f>
        <v>5022</v>
      </c>
      <c r="J122" s="272">
        <f>SUM(J123:J134)</f>
        <v>3758.68</v>
      </c>
      <c r="K122" s="441">
        <f>SUM(K123:K134)</f>
        <v>2502.5299999999997</v>
      </c>
      <c r="L122" s="271">
        <f t="shared" si="77"/>
        <v>91208.84999999999</v>
      </c>
      <c r="M122" s="272">
        <f t="shared" si="77"/>
        <v>88982.6</v>
      </c>
      <c r="N122" s="272">
        <f t="shared" si="77"/>
        <v>2226.25</v>
      </c>
      <c r="O122" s="272"/>
      <c r="P122" s="272">
        <f>SUM(P123:P134)</f>
        <v>333</v>
      </c>
      <c r="Q122" s="12">
        <f aca="true" t="shared" si="78" ref="Q122:Q134">SUM(L122/P122)</f>
        <v>273.9004504504504</v>
      </c>
      <c r="R122" s="272">
        <v>91</v>
      </c>
      <c r="S122" s="272">
        <f>SUM(S123:S134)/12</f>
        <v>953.75</v>
      </c>
      <c r="T122" s="272">
        <f>SUM(T123:T134)</f>
        <v>534322</v>
      </c>
      <c r="U122" s="272">
        <f>SUM(U123:U134)</f>
        <v>1067967</v>
      </c>
      <c r="V122" s="201"/>
      <c r="W122" s="201"/>
      <c r="X122" s="279"/>
      <c r="Y122" s="271">
        <f>SUM(Y123:Y134)</f>
        <v>90788.63999999998</v>
      </c>
      <c r="Z122" s="272">
        <f>SUM(Z123:Z134)</f>
        <v>88509.39</v>
      </c>
      <c r="AA122" s="272">
        <f>SUM(AA123:AA134)</f>
        <v>2279.25</v>
      </c>
      <c r="AB122" s="272"/>
      <c r="AC122" s="272">
        <f>SUM(AC123:AC134)</f>
        <v>333</v>
      </c>
      <c r="AD122" s="12">
        <f aca="true" t="shared" si="79" ref="AD122:AD134">SUM(Y122/AC122)</f>
        <v>272.6385585585585</v>
      </c>
      <c r="AE122" s="272">
        <v>91</v>
      </c>
      <c r="AF122" s="272">
        <f>SUM(AF123:AF134)/12</f>
        <v>946.6666666666666</v>
      </c>
      <c r="AG122" s="272">
        <f>SUM(AG123:AG134)</f>
        <v>530475</v>
      </c>
      <c r="AH122" s="272">
        <f>SUM(AH123:AH134)</f>
        <v>1035819</v>
      </c>
      <c r="AI122" s="98"/>
      <c r="AJ122" s="98"/>
      <c r="AK122" s="279"/>
      <c r="AL122" s="11">
        <f>+AO122+AU122</f>
        <v>363708</v>
      </c>
      <c r="AM122" s="12"/>
      <c r="AN122" s="12"/>
      <c r="AO122" s="12">
        <f>SUM(AO123:AO134)</f>
        <v>234203</v>
      </c>
      <c r="AP122" s="272">
        <f>SUM(AP123:AP134)</f>
        <v>28843.87</v>
      </c>
      <c r="AQ122" s="272">
        <f>SUM(AQ123:AQ134)</f>
        <v>23309.730000000003</v>
      </c>
      <c r="AR122" s="272">
        <f>SUM(AR123:AR134)</f>
        <v>5534.2</v>
      </c>
      <c r="AS122" s="272">
        <f>SUM(AS123:AS134)</f>
        <v>231189</v>
      </c>
      <c r="AT122" s="12"/>
      <c r="AU122" s="16">
        <f>SUM(AU123:AU134)</f>
        <v>129505</v>
      </c>
      <c r="AV122" s="64">
        <f aca="true" t="shared" si="80" ref="AV122:BF122">SUM(AV123:AV134)/12</f>
        <v>0.2866666666666667</v>
      </c>
      <c r="AW122" s="272">
        <f t="shared" si="80"/>
        <v>1415.0833333333333</v>
      </c>
      <c r="AX122" s="444">
        <f t="shared" si="80"/>
        <v>55.885833333333345</v>
      </c>
      <c r="AY122" s="444">
        <f t="shared" si="80"/>
        <v>39.72166666666667</v>
      </c>
      <c r="AZ122" s="444">
        <f t="shared" si="80"/>
        <v>4.392499999999999</v>
      </c>
      <c r="BA122" s="444">
        <f t="shared" si="80"/>
        <v>36.03916666666667</v>
      </c>
      <c r="BB122" s="444">
        <f t="shared" si="80"/>
        <v>0.838333333333333</v>
      </c>
      <c r="BC122" s="444">
        <f t="shared" si="80"/>
        <v>22.285833333333333</v>
      </c>
      <c r="BD122" s="444">
        <f t="shared" si="80"/>
        <v>34.02833333333333</v>
      </c>
      <c r="BE122" s="444">
        <f t="shared" si="80"/>
        <v>5.734166666666667</v>
      </c>
      <c r="BF122" s="444">
        <f t="shared" si="80"/>
        <v>1.0316666666666665</v>
      </c>
      <c r="BG122" s="83"/>
      <c r="BH122" s="271">
        <f>SUM(BH123:BH134)/12</f>
        <v>63535.333333333336</v>
      </c>
      <c r="BI122" s="12">
        <f>SUM(BI123:BI134)/12</f>
        <v>64302</v>
      </c>
      <c r="BJ122" s="12"/>
      <c r="BK122" s="272">
        <f>SUM(BK123:BK134)/12</f>
        <v>199.16666666666666</v>
      </c>
      <c r="BL122" s="272">
        <f>SUM(BL123:BL134)/12</f>
        <v>202.16666666666666</v>
      </c>
      <c r="BM122" s="12"/>
      <c r="BN122" s="12">
        <f>SUM(BN123:BN134)</f>
        <v>81497</v>
      </c>
      <c r="BO122" s="272">
        <f>SUM(BO123:BO134)</f>
        <v>1526</v>
      </c>
      <c r="BP122" s="441">
        <f>SUM(BP123:BP134)</f>
        <v>79971</v>
      </c>
      <c r="BQ122" s="41">
        <f>SUM(BQ123:BQ134)/12</f>
        <v>14.47916666666667</v>
      </c>
      <c r="BR122" s="34">
        <f>SUM(BR123:BR134)/12</f>
        <v>14.478333333333333</v>
      </c>
      <c r="BS122" s="34"/>
      <c r="BT122" s="34">
        <f>SUM(BT123:BT134)/12</f>
        <v>48.279999999999994</v>
      </c>
      <c r="BU122" s="34">
        <f>SUM(BU123:BU134)/12</f>
        <v>47.37833333333333</v>
      </c>
      <c r="BV122" s="34"/>
      <c r="BW122" s="34">
        <f>SUM(BW123:BW134)/12</f>
        <v>2.1716666666666664</v>
      </c>
      <c r="BX122" s="34">
        <f>SUM(BX123:BX134)/12</f>
        <v>2.2824999999999998</v>
      </c>
      <c r="BY122" s="34"/>
      <c r="BZ122" s="34">
        <f>SUM(BZ123:BZ134)/12</f>
        <v>8.261666666666665</v>
      </c>
      <c r="CA122" s="34">
        <f>SUM(CA123:CA134)/12</f>
        <v>8.438333333333333</v>
      </c>
      <c r="CB122" s="72"/>
      <c r="CC122" s="41">
        <f aca="true" t="shared" si="81" ref="CC122:CJ122">SUM(CC123:CC134)/12</f>
        <v>7.285</v>
      </c>
      <c r="CD122" s="34">
        <f t="shared" si="81"/>
        <v>1.0416666666666667</v>
      </c>
      <c r="CE122" s="34">
        <f t="shared" si="81"/>
        <v>3.4416666666666664</v>
      </c>
      <c r="CF122" s="34">
        <f t="shared" si="81"/>
        <v>6.833333333333333</v>
      </c>
      <c r="CG122" s="290">
        <f t="shared" si="81"/>
        <v>0.006666666666666668</v>
      </c>
      <c r="CH122" s="290">
        <f t="shared" si="81"/>
        <v>0.02066666666666667</v>
      </c>
      <c r="CI122" s="290">
        <f t="shared" si="81"/>
        <v>0</v>
      </c>
      <c r="CJ122" s="291">
        <f t="shared" si="81"/>
        <v>0.0025</v>
      </c>
    </row>
    <row r="123" spans="1:88" ht="16.5" customHeight="1">
      <c r="A123" s="592"/>
      <c r="B123" s="3" t="s">
        <v>19</v>
      </c>
      <c r="C123" s="273">
        <v>15345.79</v>
      </c>
      <c r="D123" s="465">
        <v>31</v>
      </c>
      <c r="E123" s="68">
        <f t="shared" si="76"/>
        <v>2194.29</v>
      </c>
      <c r="F123" s="274">
        <v>1861.59</v>
      </c>
      <c r="G123" s="274">
        <v>332.7</v>
      </c>
      <c r="H123" s="274">
        <v>704</v>
      </c>
      <c r="I123" s="274">
        <v>602</v>
      </c>
      <c r="J123" s="274"/>
      <c r="K123" s="450">
        <v>101.8</v>
      </c>
      <c r="L123" s="437">
        <f aca="true" t="shared" si="82" ref="L123:L134">SUM(M123+N123)</f>
        <v>8178.650000000001</v>
      </c>
      <c r="M123" s="438">
        <v>8098.8</v>
      </c>
      <c r="N123" s="438">
        <v>79.85</v>
      </c>
      <c r="O123" s="438"/>
      <c r="P123" s="438">
        <v>31</v>
      </c>
      <c r="Q123" s="13">
        <f t="shared" si="78"/>
        <v>263.82741935483875</v>
      </c>
      <c r="R123" s="438">
        <v>100</v>
      </c>
      <c r="S123" s="438">
        <v>920</v>
      </c>
      <c r="T123" s="438">
        <v>122802</v>
      </c>
      <c r="U123" s="438">
        <v>97514</v>
      </c>
      <c r="V123" s="211"/>
      <c r="W123" s="211"/>
      <c r="X123" s="608"/>
      <c r="Y123" s="273">
        <f aca="true" t="shared" si="83" ref="Y123:Y134">SUM(Z123+AA123)</f>
        <v>7992.65</v>
      </c>
      <c r="Z123" s="274">
        <v>7902.4</v>
      </c>
      <c r="AA123" s="274">
        <v>90.25</v>
      </c>
      <c r="AB123" s="274"/>
      <c r="AC123" s="274">
        <v>31</v>
      </c>
      <c r="AD123" s="14">
        <f t="shared" si="79"/>
        <v>257.8274193548387</v>
      </c>
      <c r="AE123" s="274">
        <v>100</v>
      </c>
      <c r="AF123" s="274">
        <v>930</v>
      </c>
      <c r="AG123" s="274">
        <v>108560</v>
      </c>
      <c r="AH123" s="274">
        <v>85790</v>
      </c>
      <c r="AI123" s="32"/>
      <c r="AJ123" s="32"/>
      <c r="AK123" s="280"/>
      <c r="AL123" s="39">
        <f aca="true" t="shared" si="84" ref="AL123:AL134">+AO123+AU123</f>
        <v>32358</v>
      </c>
      <c r="AM123" s="13"/>
      <c r="AN123" s="13"/>
      <c r="AO123" s="13">
        <v>21044</v>
      </c>
      <c r="AP123" s="438">
        <v>2579.28</v>
      </c>
      <c r="AQ123" s="438">
        <v>2063.3</v>
      </c>
      <c r="AR123" s="438">
        <v>516</v>
      </c>
      <c r="AS123" s="438">
        <v>20914</v>
      </c>
      <c r="AT123" s="13"/>
      <c r="AU123" s="17">
        <v>11314</v>
      </c>
      <c r="AV123" s="35">
        <v>0.28</v>
      </c>
      <c r="AW123" s="438">
        <v>1756</v>
      </c>
      <c r="AX123" s="21">
        <v>58.3</v>
      </c>
      <c r="AY123" s="471">
        <v>36.1</v>
      </c>
      <c r="AZ123" s="471">
        <v>5.6</v>
      </c>
      <c r="BA123" s="471">
        <v>20.2</v>
      </c>
      <c r="BB123" s="471">
        <v>4.5</v>
      </c>
      <c r="BC123" s="471">
        <v>21.6</v>
      </c>
      <c r="BD123" s="471">
        <v>39.6</v>
      </c>
      <c r="BE123" s="471">
        <v>8.9</v>
      </c>
      <c r="BF123" s="471">
        <v>5.2</v>
      </c>
      <c r="BG123" s="285"/>
      <c r="BH123" s="437">
        <v>52365</v>
      </c>
      <c r="BI123" s="438">
        <v>54236</v>
      </c>
      <c r="BJ123" s="438"/>
      <c r="BK123" s="438">
        <v>197</v>
      </c>
      <c r="BL123" s="438">
        <v>199</v>
      </c>
      <c r="BM123" s="438"/>
      <c r="BN123" s="438">
        <f>+BO123+BP123</f>
        <v>5652</v>
      </c>
      <c r="BO123" s="438">
        <v>238</v>
      </c>
      <c r="BP123" s="452">
        <v>5414</v>
      </c>
      <c r="BQ123" s="26">
        <v>9.95</v>
      </c>
      <c r="BR123" s="27">
        <v>7.89</v>
      </c>
      <c r="BS123" s="27"/>
      <c r="BT123" s="27">
        <v>39.2</v>
      </c>
      <c r="BU123" s="27">
        <v>44.67</v>
      </c>
      <c r="BV123" s="27"/>
      <c r="BW123" s="27">
        <v>1.63</v>
      </c>
      <c r="BX123" s="27">
        <v>1.19</v>
      </c>
      <c r="BY123" s="27"/>
      <c r="BZ123" s="27">
        <v>9.43</v>
      </c>
      <c r="CA123" s="27">
        <v>9.04</v>
      </c>
      <c r="CB123" s="44"/>
      <c r="CC123" s="26">
        <v>7.22</v>
      </c>
      <c r="CD123" s="27">
        <v>0.9</v>
      </c>
      <c r="CE123" s="27">
        <v>2.6</v>
      </c>
      <c r="CF123" s="27">
        <v>6</v>
      </c>
      <c r="CG123" s="292">
        <v>0.007</v>
      </c>
      <c r="CH123" s="292">
        <v>0.118</v>
      </c>
      <c r="CI123" s="292">
        <v>0</v>
      </c>
      <c r="CJ123" s="293">
        <v>0</v>
      </c>
    </row>
    <row r="124" spans="1:88" ht="16.5" customHeight="1">
      <c r="A124" s="592"/>
      <c r="B124" s="3" t="s">
        <v>20</v>
      </c>
      <c r="C124" s="273">
        <v>14026.45</v>
      </c>
      <c r="D124" s="465">
        <v>29</v>
      </c>
      <c r="E124" s="68">
        <f t="shared" si="76"/>
        <v>1993.9099999999999</v>
      </c>
      <c r="F124" s="274">
        <v>1787.61</v>
      </c>
      <c r="G124" s="274">
        <v>206.3</v>
      </c>
      <c r="H124" s="274">
        <v>186</v>
      </c>
      <c r="I124" s="274"/>
      <c r="J124" s="274"/>
      <c r="K124" s="450">
        <v>24.5</v>
      </c>
      <c r="L124" s="273">
        <f t="shared" si="82"/>
        <v>6933.45</v>
      </c>
      <c r="M124" s="274">
        <v>6933.45</v>
      </c>
      <c r="N124" s="274"/>
      <c r="O124" s="274"/>
      <c r="P124" s="274">
        <v>29</v>
      </c>
      <c r="Q124" s="14">
        <f t="shared" si="78"/>
        <v>239.08448275862068</v>
      </c>
      <c r="R124" s="274">
        <v>100</v>
      </c>
      <c r="S124" s="274">
        <v>930</v>
      </c>
      <c r="T124" s="274">
        <v>84105</v>
      </c>
      <c r="U124" s="274">
        <v>103188</v>
      </c>
      <c r="V124" s="204"/>
      <c r="W124" s="204"/>
      <c r="X124" s="280"/>
      <c r="Y124" s="273">
        <f t="shared" si="83"/>
        <v>6392.66</v>
      </c>
      <c r="Z124" s="274">
        <v>6392.66</v>
      </c>
      <c r="AA124" s="274"/>
      <c r="AB124" s="274"/>
      <c r="AC124" s="274">
        <v>27</v>
      </c>
      <c r="AD124" s="14">
        <f t="shared" si="79"/>
        <v>236.76518518518517</v>
      </c>
      <c r="AE124" s="274">
        <v>100</v>
      </c>
      <c r="AF124" s="274">
        <v>940</v>
      </c>
      <c r="AG124" s="274">
        <v>79538</v>
      </c>
      <c r="AH124" s="274">
        <v>95041</v>
      </c>
      <c r="AI124" s="32"/>
      <c r="AJ124" s="32"/>
      <c r="AK124" s="280"/>
      <c r="AL124" s="39">
        <f t="shared" si="84"/>
        <v>29868</v>
      </c>
      <c r="AM124" s="14"/>
      <c r="AN124" s="14"/>
      <c r="AO124" s="14">
        <v>18800</v>
      </c>
      <c r="AP124" s="274">
        <v>2304.14</v>
      </c>
      <c r="AQ124" s="274">
        <v>1813.1</v>
      </c>
      <c r="AR124" s="274">
        <v>491</v>
      </c>
      <c r="AS124" s="274">
        <v>19752</v>
      </c>
      <c r="AT124" s="14"/>
      <c r="AU124" s="18">
        <v>11068</v>
      </c>
      <c r="AV124" s="36">
        <v>0.22</v>
      </c>
      <c r="AW124" s="274">
        <v>1691</v>
      </c>
      <c r="AX124" s="22">
        <v>54.4</v>
      </c>
      <c r="AY124" s="472">
        <v>39.1</v>
      </c>
      <c r="AZ124" s="472">
        <v>6.5</v>
      </c>
      <c r="BA124" s="472">
        <v>23.4</v>
      </c>
      <c r="BB124" s="472">
        <v>3.7</v>
      </c>
      <c r="BC124" s="472">
        <v>25.8</v>
      </c>
      <c r="BD124" s="472">
        <v>34.8</v>
      </c>
      <c r="BE124" s="472">
        <v>7.5</v>
      </c>
      <c r="BF124" s="472">
        <v>4.8</v>
      </c>
      <c r="BG124" s="286"/>
      <c r="BH124" s="273">
        <v>58236</v>
      </c>
      <c r="BI124" s="274">
        <v>60325</v>
      </c>
      <c r="BJ124" s="274"/>
      <c r="BK124" s="274">
        <v>203</v>
      </c>
      <c r="BL124" s="274">
        <v>205</v>
      </c>
      <c r="BM124" s="274"/>
      <c r="BN124" s="274">
        <f>+BO124+BP124</f>
        <v>5680</v>
      </c>
      <c r="BO124" s="274">
        <v>146</v>
      </c>
      <c r="BP124" s="450">
        <v>5534</v>
      </c>
      <c r="BQ124" s="28">
        <v>14.78</v>
      </c>
      <c r="BR124" s="29">
        <v>16.31</v>
      </c>
      <c r="BS124" s="29"/>
      <c r="BT124" s="29">
        <v>39.06</v>
      </c>
      <c r="BU124" s="29">
        <v>41</v>
      </c>
      <c r="BV124" s="29"/>
      <c r="BW124" s="29">
        <v>1.26</v>
      </c>
      <c r="BX124" s="29">
        <v>1.18</v>
      </c>
      <c r="BY124" s="29"/>
      <c r="BZ124" s="29">
        <v>8.22</v>
      </c>
      <c r="CA124" s="29">
        <v>9.47</v>
      </c>
      <c r="CB124" s="30"/>
      <c r="CC124" s="28">
        <v>7.85</v>
      </c>
      <c r="CD124" s="29">
        <v>1.8</v>
      </c>
      <c r="CE124" s="29">
        <v>4.2</v>
      </c>
      <c r="CF124" s="29">
        <v>13.6</v>
      </c>
      <c r="CG124" s="45">
        <v>0.002</v>
      </c>
      <c r="CH124" s="45">
        <v>0.004</v>
      </c>
      <c r="CI124" s="45">
        <v>0</v>
      </c>
      <c r="CJ124" s="46">
        <v>0</v>
      </c>
    </row>
    <row r="125" spans="1:88" ht="16.5" customHeight="1">
      <c r="A125" s="592"/>
      <c r="B125" s="3" t="s">
        <v>21</v>
      </c>
      <c r="C125" s="273">
        <v>15735.45</v>
      </c>
      <c r="D125" s="465">
        <v>31</v>
      </c>
      <c r="E125" s="68">
        <f t="shared" si="76"/>
        <v>2253.48</v>
      </c>
      <c r="F125" s="274">
        <v>2056.38</v>
      </c>
      <c r="G125" s="274">
        <v>197.1</v>
      </c>
      <c r="H125" s="274">
        <v>73</v>
      </c>
      <c r="I125" s="274"/>
      <c r="J125" s="274"/>
      <c r="K125" s="450">
        <v>0</v>
      </c>
      <c r="L125" s="273">
        <f t="shared" si="82"/>
        <v>8104.85</v>
      </c>
      <c r="M125" s="274">
        <v>8104.85</v>
      </c>
      <c r="N125" s="274"/>
      <c r="O125" s="274"/>
      <c r="P125" s="274">
        <v>29</v>
      </c>
      <c r="Q125" s="14">
        <f t="shared" si="78"/>
        <v>279.47758620689655</v>
      </c>
      <c r="R125" s="274">
        <v>93.54</v>
      </c>
      <c r="S125" s="274">
        <v>960</v>
      </c>
      <c r="T125" s="274">
        <v>80729</v>
      </c>
      <c r="U125" s="274">
        <v>98680</v>
      </c>
      <c r="V125" s="204"/>
      <c r="W125" s="204"/>
      <c r="X125" s="280"/>
      <c r="Y125" s="273">
        <f t="shared" si="83"/>
        <v>8681.51</v>
      </c>
      <c r="Z125" s="274">
        <v>8681.51</v>
      </c>
      <c r="AA125" s="274"/>
      <c r="AB125" s="274"/>
      <c r="AC125" s="274">
        <v>31</v>
      </c>
      <c r="AD125" s="14">
        <f t="shared" si="79"/>
        <v>280.04870967741937</v>
      </c>
      <c r="AE125" s="274">
        <v>93.54</v>
      </c>
      <c r="AF125" s="274">
        <v>945</v>
      </c>
      <c r="AG125" s="274">
        <v>76469</v>
      </c>
      <c r="AH125" s="274">
        <v>90853</v>
      </c>
      <c r="AI125" s="32"/>
      <c r="AJ125" s="32"/>
      <c r="AK125" s="280"/>
      <c r="AL125" s="39">
        <f t="shared" si="84"/>
        <v>33148</v>
      </c>
      <c r="AM125" s="14"/>
      <c r="AN125" s="14"/>
      <c r="AO125" s="14">
        <v>21632</v>
      </c>
      <c r="AP125" s="274">
        <v>2651.33</v>
      </c>
      <c r="AQ125" s="274">
        <v>1996.8</v>
      </c>
      <c r="AR125" s="274">
        <v>654.5</v>
      </c>
      <c r="AS125" s="274">
        <v>27306</v>
      </c>
      <c r="AT125" s="14"/>
      <c r="AU125" s="18">
        <v>11516</v>
      </c>
      <c r="AV125" s="36">
        <v>0.23</v>
      </c>
      <c r="AW125" s="274">
        <v>1620</v>
      </c>
      <c r="AX125" s="22">
        <v>36.57</v>
      </c>
      <c r="AY125" s="472">
        <v>56.59</v>
      </c>
      <c r="AZ125" s="472">
        <v>6.84</v>
      </c>
      <c r="BA125" s="472">
        <v>49.25</v>
      </c>
      <c r="BB125" s="472">
        <v>0.25</v>
      </c>
      <c r="BC125" s="472">
        <v>25.97</v>
      </c>
      <c r="BD125" s="472">
        <v>19.5</v>
      </c>
      <c r="BE125" s="472">
        <v>4.53</v>
      </c>
      <c r="BF125" s="472">
        <v>0.25</v>
      </c>
      <c r="BG125" s="286"/>
      <c r="BH125" s="273">
        <v>54325</v>
      </c>
      <c r="BI125" s="274">
        <v>56325</v>
      </c>
      <c r="BJ125" s="274"/>
      <c r="BK125" s="274">
        <v>198</v>
      </c>
      <c r="BL125" s="274">
        <v>200</v>
      </c>
      <c r="BM125" s="274"/>
      <c r="BN125" s="274">
        <f aca="true" t="shared" si="85" ref="BN125:BN133">+BO125+BP125</f>
        <v>6976</v>
      </c>
      <c r="BO125" s="274">
        <v>101</v>
      </c>
      <c r="BP125" s="450">
        <v>6875</v>
      </c>
      <c r="BQ125" s="28">
        <v>18.9</v>
      </c>
      <c r="BR125" s="29">
        <v>16</v>
      </c>
      <c r="BS125" s="29"/>
      <c r="BT125" s="29">
        <v>42.37</v>
      </c>
      <c r="BU125" s="29">
        <v>44.77</v>
      </c>
      <c r="BV125" s="29"/>
      <c r="BW125" s="29">
        <v>1.22</v>
      </c>
      <c r="BX125" s="29">
        <v>1.04</v>
      </c>
      <c r="BY125" s="29"/>
      <c r="BZ125" s="29">
        <v>8.28</v>
      </c>
      <c r="CA125" s="29">
        <v>7.91</v>
      </c>
      <c r="CB125" s="30"/>
      <c r="CC125" s="28">
        <v>7.36</v>
      </c>
      <c r="CD125" s="29">
        <v>1.3</v>
      </c>
      <c r="CE125" s="29">
        <v>6.8</v>
      </c>
      <c r="CF125" s="29">
        <v>12</v>
      </c>
      <c r="CG125" s="45">
        <v>0.006</v>
      </c>
      <c r="CH125" s="45">
        <v>0.001</v>
      </c>
      <c r="CI125" s="45">
        <v>0</v>
      </c>
      <c r="CJ125" s="46">
        <v>0.007</v>
      </c>
    </row>
    <row r="126" spans="1:88" ht="16.5" customHeight="1">
      <c r="A126" s="592"/>
      <c r="B126" s="3" t="s">
        <v>22</v>
      </c>
      <c r="C126" s="273">
        <v>10591.27</v>
      </c>
      <c r="D126" s="465">
        <v>21</v>
      </c>
      <c r="E126" s="68">
        <f t="shared" si="76"/>
        <v>1115.65</v>
      </c>
      <c r="F126" s="274">
        <v>977.95</v>
      </c>
      <c r="G126" s="274">
        <v>137.7</v>
      </c>
      <c r="H126" s="274">
        <v>34</v>
      </c>
      <c r="I126" s="274"/>
      <c r="J126" s="274"/>
      <c r="K126" s="450">
        <v>0</v>
      </c>
      <c r="L126" s="273">
        <f t="shared" si="82"/>
        <v>4147.77</v>
      </c>
      <c r="M126" s="274">
        <v>4147.77</v>
      </c>
      <c r="N126" s="274"/>
      <c r="O126" s="274"/>
      <c r="P126" s="274">
        <v>16</v>
      </c>
      <c r="Q126" s="14">
        <f t="shared" si="78"/>
        <v>259.235625</v>
      </c>
      <c r="R126" s="274">
        <v>53.3</v>
      </c>
      <c r="S126" s="274">
        <v>965</v>
      </c>
      <c r="T126" s="274">
        <v>27608</v>
      </c>
      <c r="U126" s="274">
        <v>98271</v>
      </c>
      <c r="V126" s="204"/>
      <c r="W126" s="204"/>
      <c r="X126" s="280"/>
      <c r="Y126" s="273">
        <f t="shared" si="83"/>
        <v>4040.47</v>
      </c>
      <c r="Z126" s="274">
        <v>4040.47</v>
      </c>
      <c r="AA126" s="274"/>
      <c r="AB126" s="274"/>
      <c r="AC126" s="274">
        <v>16</v>
      </c>
      <c r="AD126" s="14">
        <f t="shared" si="79"/>
        <v>252.529375</v>
      </c>
      <c r="AE126" s="274">
        <v>53.3</v>
      </c>
      <c r="AF126" s="274">
        <v>950</v>
      </c>
      <c r="AG126" s="274">
        <v>39801</v>
      </c>
      <c r="AH126" s="274">
        <v>103023</v>
      </c>
      <c r="AI126" s="32"/>
      <c r="AJ126" s="32"/>
      <c r="AK126" s="280"/>
      <c r="AL126" s="39">
        <f t="shared" si="84"/>
        <v>17283</v>
      </c>
      <c r="AM126" s="14"/>
      <c r="AN126" s="14"/>
      <c r="AO126" s="14">
        <v>11211</v>
      </c>
      <c r="AP126" s="274">
        <v>1373.69</v>
      </c>
      <c r="AQ126" s="274">
        <v>1081.6</v>
      </c>
      <c r="AR126" s="274">
        <v>292.1</v>
      </c>
      <c r="AS126" s="274">
        <v>10924</v>
      </c>
      <c r="AT126" s="14"/>
      <c r="AU126" s="18">
        <v>6072</v>
      </c>
      <c r="AV126" s="36">
        <v>0.21</v>
      </c>
      <c r="AW126" s="274">
        <v>1780</v>
      </c>
      <c r="AX126" s="22">
        <v>38.32</v>
      </c>
      <c r="AY126" s="472">
        <v>55.59</v>
      </c>
      <c r="AZ126" s="472">
        <v>6.09</v>
      </c>
      <c r="BA126" s="472">
        <v>46.34</v>
      </c>
      <c r="BB126" s="472">
        <v>0.38</v>
      </c>
      <c r="BC126" s="472">
        <v>24.86</v>
      </c>
      <c r="BD126" s="472">
        <v>16.4</v>
      </c>
      <c r="BE126" s="472">
        <v>11.4</v>
      </c>
      <c r="BF126" s="472">
        <v>0.36</v>
      </c>
      <c r="BG126" s="286"/>
      <c r="BH126" s="273">
        <v>57256</v>
      </c>
      <c r="BI126" s="274">
        <v>59326</v>
      </c>
      <c r="BJ126" s="274"/>
      <c r="BK126" s="274">
        <v>204</v>
      </c>
      <c r="BL126" s="274">
        <v>206</v>
      </c>
      <c r="BM126" s="274"/>
      <c r="BN126" s="274">
        <f t="shared" si="85"/>
        <v>4041</v>
      </c>
      <c r="BO126" s="274">
        <v>35</v>
      </c>
      <c r="BP126" s="450">
        <v>4006</v>
      </c>
      <c r="BQ126" s="28">
        <v>15.89</v>
      </c>
      <c r="BR126" s="29">
        <v>12.88</v>
      </c>
      <c r="BS126" s="29"/>
      <c r="BT126" s="29">
        <v>57.34</v>
      </c>
      <c r="BU126" s="29">
        <v>54.16</v>
      </c>
      <c r="BV126" s="29"/>
      <c r="BW126" s="29">
        <v>3.52</v>
      </c>
      <c r="BX126" s="29">
        <v>4.42</v>
      </c>
      <c r="BY126" s="29"/>
      <c r="BZ126" s="29">
        <v>10.21</v>
      </c>
      <c r="CA126" s="29">
        <v>10.6</v>
      </c>
      <c r="CB126" s="30"/>
      <c r="CC126" s="28">
        <v>7.44</v>
      </c>
      <c r="CD126" s="29">
        <v>0.8</v>
      </c>
      <c r="CE126" s="29">
        <v>5.2</v>
      </c>
      <c r="CF126" s="29">
        <v>9.6</v>
      </c>
      <c r="CG126" s="45">
        <v>0.01</v>
      </c>
      <c r="CH126" s="45">
        <v>0.017</v>
      </c>
      <c r="CI126" s="45">
        <v>0</v>
      </c>
      <c r="CJ126" s="46">
        <v>0.009</v>
      </c>
    </row>
    <row r="127" spans="1:88" ht="16.5" customHeight="1">
      <c r="A127" s="592"/>
      <c r="B127" s="3" t="s">
        <v>23</v>
      </c>
      <c r="C127" s="273">
        <v>18426.45</v>
      </c>
      <c r="D127" s="465">
        <v>31</v>
      </c>
      <c r="E127" s="68">
        <f t="shared" si="76"/>
        <v>2452.58</v>
      </c>
      <c r="F127" s="274">
        <v>2238.08</v>
      </c>
      <c r="G127" s="274">
        <v>214.5</v>
      </c>
      <c r="H127" s="274">
        <v>1148</v>
      </c>
      <c r="I127" s="274">
        <v>787</v>
      </c>
      <c r="J127" s="274">
        <v>30.62</v>
      </c>
      <c r="K127" s="450">
        <v>330.47</v>
      </c>
      <c r="L127" s="273">
        <f t="shared" si="82"/>
        <v>9081.85</v>
      </c>
      <c r="M127" s="274">
        <v>8751.84</v>
      </c>
      <c r="N127" s="274">
        <v>330.01</v>
      </c>
      <c r="O127" s="274"/>
      <c r="P127" s="274">
        <v>31</v>
      </c>
      <c r="Q127" s="14">
        <f t="shared" si="78"/>
        <v>292.9629032258065</v>
      </c>
      <c r="R127" s="274">
        <v>100</v>
      </c>
      <c r="S127" s="274">
        <v>980</v>
      </c>
      <c r="T127" s="274">
        <v>13077</v>
      </c>
      <c r="U127" s="274">
        <v>59350</v>
      </c>
      <c r="V127" s="204"/>
      <c r="W127" s="204"/>
      <c r="X127" s="280"/>
      <c r="Y127" s="273">
        <f t="shared" si="83"/>
        <v>9056.92</v>
      </c>
      <c r="Z127" s="274">
        <v>8699.17</v>
      </c>
      <c r="AA127" s="274">
        <v>357.75</v>
      </c>
      <c r="AB127" s="274"/>
      <c r="AC127" s="274">
        <v>31</v>
      </c>
      <c r="AD127" s="14">
        <f t="shared" si="79"/>
        <v>292.1587096774194</v>
      </c>
      <c r="AE127" s="274">
        <v>100</v>
      </c>
      <c r="AF127" s="274">
        <v>970</v>
      </c>
      <c r="AG127" s="274">
        <v>20205</v>
      </c>
      <c r="AH127" s="274">
        <v>55645</v>
      </c>
      <c r="AI127" s="32"/>
      <c r="AJ127" s="32"/>
      <c r="AK127" s="280"/>
      <c r="AL127" s="39">
        <f t="shared" si="84"/>
        <v>35265</v>
      </c>
      <c r="AM127" s="14"/>
      <c r="AN127" s="14"/>
      <c r="AO127" s="14">
        <v>22121</v>
      </c>
      <c r="AP127" s="274">
        <v>2711.46</v>
      </c>
      <c r="AQ127" s="274">
        <v>2173.7</v>
      </c>
      <c r="AR127" s="274">
        <v>537.9</v>
      </c>
      <c r="AS127" s="274">
        <v>20136</v>
      </c>
      <c r="AT127" s="14"/>
      <c r="AU127" s="18">
        <v>13144</v>
      </c>
      <c r="AV127" s="36">
        <v>0.31</v>
      </c>
      <c r="AW127" s="274">
        <v>1521</v>
      </c>
      <c r="AX127" s="22">
        <v>45.33</v>
      </c>
      <c r="AY127" s="472">
        <v>49.35</v>
      </c>
      <c r="AZ127" s="472">
        <v>5.32</v>
      </c>
      <c r="BA127" s="472">
        <v>49.51</v>
      </c>
      <c r="BB127" s="472">
        <v>0.21</v>
      </c>
      <c r="BC127" s="472">
        <v>23.35</v>
      </c>
      <c r="BD127" s="472">
        <v>20.35</v>
      </c>
      <c r="BE127" s="472">
        <v>6.37</v>
      </c>
      <c r="BF127" s="472">
        <v>0.21</v>
      </c>
      <c r="BG127" s="286"/>
      <c r="BH127" s="273">
        <v>53625</v>
      </c>
      <c r="BI127" s="274">
        <v>55236</v>
      </c>
      <c r="BJ127" s="274"/>
      <c r="BK127" s="274">
        <v>202</v>
      </c>
      <c r="BL127" s="274">
        <v>204</v>
      </c>
      <c r="BM127" s="274"/>
      <c r="BN127" s="274">
        <f t="shared" si="85"/>
        <v>6837</v>
      </c>
      <c r="BO127" s="274">
        <v>249</v>
      </c>
      <c r="BP127" s="450">
        <v>6588</v>
      </c>
      <c r="BQ127" s="28">
        <v>12.52</v>
      </c>
      <c r="BR127" s="29">
        <v>11.2</v>
      </c>
      <c r="BS127" s="29"/>
      <c r="BT127" s="29">
        <v>49.63</v>
      </c>
      <c r="BU127" s="29">
        <v>56.62</v>
      </c>
      <c r="BV127" s="29"/>
      <c r="BW127" s="29">
        <v>2.8</v>
      </c>
      <c r="BX127" s="29">
        <v>2.94</v>
      </c>
      <c r="BY127" s="29"/>
      <c r="BZ127" s="29">
        <v>8.42</v>
      </c>
      <c r="CA127" s="29">
        <v>7.9</v>
      </c>
      <c r="CB127" s="30"/>
      <c r="CC127" s="28">
        <v>7.09</v>
      </c>
      <c r="CD127" s="29">
        <v>1.1</v>
      </c>
      <c r="CE127" s="29">
        <v>3</v>
      </c>
      <c r="CF127" s="29">
        <v>2</v>
      </c>
      <c r="CG127" s="45">
        <v>0.008</v>
      </c>
      <c r="CH127" s="45">
        <v>0.007</v>
      </c>
      <c r="CI127" s="45">
        <v>0</v>
      </c>
      <c r="CJ127" s="46">
        <v>0.006</v>
      </c>
    </row>
    <row r="128" spans="1:88" ht="16.5" customHeight="1">
      <c r="A128" s="592"/>
      <c r="B128" s="3" t="s">
        <v>24</v>
      </c>
      <c r="C128" s="273">
        <v>18803.91</v>
      </c>
      <c r="D128" s="465">
        <v>30</v>
      </c>
      <c r="E128" s="68">
        <f t="shared" si="76"/>
        <v>2635.9300000000003</v>
      </c>
      <c r="F128" s="274">
        <v>2428.53</v>
      </c>
      <c r="G128" s="274">
        <v>207.4</v>
      </c>
      <c r="H128" s="274">
        <v>1890</v>
      </c>
      <c r="I128" s="274">
        <v>573</v>
      </c>
      <c r="J128" s="274">
        <v>802.93</v>
      </c>
      <c r="K128" s="450">
        <v>513.7</v>
      </c>
      <c r="L128" s="273">
        <f t="shared" si="82"/>
        <v>9154.84</v>
      </c>
      <c r="M128" s="274">
        <v>8755.5</v>
      </c>
      <c r="N128" s="274">
        <v>399.34</v>
      </c>
      <c r="O128" s="274"/>
      <c r="P128" s="274">
        <v>30</v>
      </c>
      <c r="Q128" s="14">
        <f t="shared" si="78"/>
        <v>305.16133333333335</v>
      </c>
      <c r="R128" s="274">
        <v>100</v>
      </c>
      <c r="S128" s="274">
        <v>970</v>
      </c>
      <c r="T128" s="274">
        <v>24689</v>
      </c>
      <c r="U128" s="274">
        <v>98144</v>
      </c>
      <c r="V128" s="204"/>
      <c r="W128" s="204"/>
      <c r="X128" s="280"/>
      <c r="Y128" s="273">
        <f t="shared" si="83"/>
        <v>9191.48</v>
      </c>
      <c r="Z128" s="274">
        <v>8783.38</v>
      </c>
      <c r="AA128" s="274">
        <v>408.1</v>
      </c>
      <c r="AB128" s="274"/>
      <c r="AC128" s="274">
        <v>30</v>
      </c>
      <c r="AD128" s="14">
        <f t="shared" si="79"/>
        <v>306.38266666666664</v>
      </c>
      <c r="AE128" s="274">
        <v>100</v>
      </c>
      <c r="AF128" s="274">
        <v>960</v>
      </c>
      <c r="AG128" s="274">
        <v>30813</v>
      </c>
      <c r="AH128" s="274">
        <v>93572</v>
      </c>
      <c r="AI128" s="32"/>
      <c r="AJ128" s="32"/>
      <c r="AK128" s="280"/>
      <c r="AL128" s="39">
        <f t="shared" si="84"/>
        <v>33486</v>
      </c>
      <c r="AM128" s="14"/>
      <c r="AN128" s="14"/>
      <c r="AO128" s="14">
        <v>22432</v>
      </c>
      <c r="AP128" s="274">
        <v>2748.72</v>
      </c>
      <c r="AQ128" s="274">
        <v>2164.2</v>
      </c>
      <c r="AR128" s="274">
        <v>584.7</v>
      </c>
      <c r="AS128" s="274">
        <v>23346</v>
      </c>
      <c r="AT128" s="14"/>
      <c r="AU128" s="18">
        <v>11054</v>
      </c>
      <c r="AV128" s="36">
        <v>0.32</v>
      </c>
      <c r="AW128" s="274">
        <v>1430</v>
      </c>
      <c r="AX128" s="22">
        <v>48.42</v>
      </c>
      <c r="AY128" s="472">
        <v>48.25</v>
      </c>
      <c r="AZ128" s="472">
        <v>3.33</v>
      </c>
      <c r="BA128" s="472">
        <v>49.43</v>
      </c>
      <c r="BB128" s="472">
        <v>0.18</v>
      </c>
      <c r="BC128" s="472">
        <v>22.26</v>
      </c>
      <c r="BD128" s="472">
        <v>23.26</v>
      </c>
      <c r="BE128" s="472">
        <v>4.52</v>
      </c>
      <c r="BF128" s="472">
        <v>0.35</v>
      </c>
      <c r="BG128" s="286"/>
      <c r="BH128" s="273">
        <v>50214</v>
      </c>
      <c r="BI128" s="274">
        <v>52365</v>
      </c>
      <c r="BJ128" s="274"/>
      <c r="BK128" s="274">
        <v>197</v>
      </c>
      <c r="BL128" s="274">
        <v>199</v>
      </c>
      <c r="BM128" s="274"/>
      <c r="BN128" s="274">
        <f t="shared" si="85"/>
        <v>7205</v>
      </c>
      <c r="BO128" s="274">
        <v>18</v>
      </c>
      <c r="BP128" s="450">
        <v>7187</v>
      </c>
      <c r="BQ128" s="28">
        <v>18.06</v>
      </c>
      <c r="BR128" s="29">
        <v>15.28</v>
      </c>
      <c r="BS128" s="29"/>
      <c r="BT128" s="29">
        <v>51.09</v>
      </c>
      <c r="BU128" s="29">
        <v>49.48</v>
      </c>
      <c r="BV128" s="29"/>
      <c r="BW128" s="29">
        <v>2.82</v>
      </c>
      <c r="BX128" s="29">
        <v>1.94</v>
      </c>
      <c r="BY128" s="29"/>
      <c r="BZ128" s="29">
        <v>9.46</v>
      </c>
      <c r="CA128" s="29">
        <v>8.87</v>
      </c>
      <c r="CB128" s="30"/>
      <c r="CC128" s="28">
        <v>7.56</v>
      </c>
      <c r="CD128" s="29">
        <v>1.5</v>
      </c>
      <c r="CE128" s="29">
        <v>3.5</v>
      </c>
      <c r="CF128" s="29">
        <v>4.4</v>
      </c>
      <c r="CG128" s="45">
        <v>0.014</v>
      </c>
      <c r="CH128" s="45">
        <v>0.022</v>
      </c>
      <c r="CI128" s="45">
        <v>0</v>
      </c>
      <c r="CJ128" s="46">
        <v>0.006</v>
      </c>
    </row>
    <row r="129" spans="1:88" ht="16.5" customHeight="1">
      <c r="A129" s="592"/>
      <c r="B129" s="3" t="s">
        <v>25</v>
      </c>
      <c r="C129" s="273">
        <v>19710.71</v>
      </c>
      <c r="D129" s="465">
        <v>31</v>
      </c>
      <c r="E129" s="68">
        <f t="shared" si="76"/>
        <v>2283.77</v>
      </c>
      <c r="F129" s="274">
        <v>2036.17</v>
      </c>
      <c r="G129" s="274">
        <v>247.6</v>
      </c>
      <c r="H129" s="274">
        <v>2230</v>
      </c>
      <c r="I129" s="274">
        <v>871</v>
      </c>
      <c r="J129" s="274">
        <v>860.06</v>
      </c>
      <c r="K129" s="450">
        <v>498.46</v>
      </c>
      <c r="L129" s="273">
        <f t="shared" si="82"/>
        <v>9209.09</v>
      </c>
      <c r="M129" s="274">
        <v>8793.44</v>
      </c>
      <c r="N129" s="274">
        <v>415.65</v>
      </c>
      <c r="O129" s="274"/>
      <c r="P129" s="274">
        <v>31</v>
      </c>
      <c r="Q129" s="14">
        <f t="shared" si="78"/>
        <v>297.0674193548387</v>
      </c>
      <c r="R129" s="274">
        <v>100</v>
      </c>
      <c r="S129" s="274">
        <v>940</v>
      </c>
      <c r="T129" s="274">
        <v>2425</v>
      </c>
      <c r="U129" s="274">
        <v>97136</v>
      </c>
      <c r="V129" s="204"/>
      <c r="W129" s="204"/>
      <c r="X129" s="280"/>
      <c r="Y129" s="273">
        <f t="shared" si="83"/>
        <v>9397.369999999999</v>
      </c>
      <c r="Z129" s="274">
        <v>8963.97</v>
      </c>
      <c r="AA129" s="274">
        <v>433.4</v>
      </c>
      <c r="AB129" s="274"/>
      <c r="AC129" s="274">
        <v>31</v>
      </c>
      <c r="AD129" s="14">
        <f t="shared" si="79"/>
        <v>303.14096774193547</v>
      </c>
      <c r="AE129" s="274">
        <v>100</v>
      </c>
      <c r="AF129" s="274">
        <v>950</v>
      </c>
      <c r="AG129" s="274">
        <v>7360</v>
      </c>
      <c r="AH129" s="274">
        <v>92385</v>
      </c>
      <c r="AI129" s="32"/>
      <c r="AJ129" s="32"/>
      <c r="AK129" s="280"/>
      <c r="AL129" s="39">
        <f t="shared" si="84"/>
        <v>33688</v>
      </c>
      <c r="AM129" s="14"/>
      <c r="AN129" s="14"/>
      <c r="AO129" s="14">
        <v>26502</v>
      </c>
      <c r="AP129" s="274">
        <v>3389.17</v>
      </c>
      <c r="AQ129" s="274">
        <v>2813.2</v>
      </c>
      <c r="AR129" s="274">
        <v>576</v>
      </c>
      <c r="AS129" s="274">
        <v>28665</v>
      </c>
      <c r="AT129" s="14"/>
      <c r="AU129" s="18">
        <v>7186</v>
      </c>
      <c r="AV129" s="36">
        <v>0.33</v>
      </c>
      <c r="AW129" s="274">
        <v>1350</v>
      </c>
      <c r="AX129" s="22">
        <v>60.35</v>
      </c>
      <c r="AY129" s="472">
        <v>35.6</v>
      </c>
      <c r="AZ129" s="472">
        <v>4.05</v>
      </c>
      <c r="BA129" s="472">
        <v>38.2</v>
      </c>
      <c r="BB129" s="472">
        <v>0.1</v>
      </c>
      <c r="BC129" s="472">
        <v>22.5</v>
      </c>
      <c r="BD129" s="472">
        <v>35.21</v>
      </c>
      <c r="BE129" s="472">
        <v>3.78</v>
      </c>
      <c r="BF129" s="472">
        <v>0.21</v>
      </c>
      <c r="BG129" s="286"/>
      <c r="BH129" s="273">
        <v>75236</v>
      </c>
      <c r="BI129" s="274">
        <v>77264</v>
      </c>
      <c r="BJ129" s="274"/>
      <c r="BK129" s="274">
        <v>201</v>
      </c>
      <c r="BL129" s="274">
        <v>203</v>
      </c>
      <c r="BM129" s="274"/>
      <c r="BN129" s="274">
        <f t="shared" si="85"/>
        <v>8285</v>
      </c>
      <c r="BO129" s="274">
        <v>314</v>
      </c>
      <c r="BP129" s="450">
        <v>7971</v>
      </c>
      <c r="BQ129" s="28">
        <v>13.06</v>
      </c>
      <c r="BR129" s="29">
        <v>16.65</v>
      </c>
      <c r="BS129" s="29"/>
      <c r="BT129" s="29">
        <v>78.98</v>
      </c>
      <c r="BU129" s="29">
        <v>63.67</v>
      </c>
      <c r="BV129" s="29"/>
      <c r="BW129" s="29">
        <v>2.39</v>
      </c>
      <c r="BX129" s="29">
        <v>2.92</v>
      </c>
      <c r="BY129" s="29"/>
      <c r="BZ129" s="29">
        <v>8.11</v>
      </c>
      <c r="CA129" s="29">
        <v>8.75</v>
      </c>
      <c r="CB129" s="30"/>
      <c r="CC129" s="28">
        <v>6.89</v>
      </c>
      <c r="CD129" s="29">
        <v>0.7</v>
      </c>
      <c r="CE129" s="29">
        <v>4.2</v>
      </c>
      <c r="CF129" s="29">
        <v>3.6</v>
      </c>
      <c r="CG129" s="45">
        <v>0.004</v>
      </c>
      <c r="CH129" s="45">
        <v>0.001</v>
      </c>
      <c r="CI129" s="45">
        <v>0</v>
      </c>
      <c r="CJ129" s="46">
        <v>0.002</v>
      </c>
    </row>
    <row r="130" spans="1:88" ht="16.5" customHeight="1">
      <c r="A130" s="592"/>
      <c r="B130" s="3" t="s">
        <v>26</v>
      </c>
      <c r="C130" s="273">
        <v>18418.72</v>
      </c>
      <c r="D130" s="465">
        <v>31</v>
      </c>
      <c r="E130" s="68">
        <f t="shared" si="76"/>
        <v>2405.28</v>
      </c>
      <c r="F130" s="274">
        <v>2200.28</v>
      </c>
      <c r="G130" s="274">
        <v>205</v>
      </c>
      <c r="H130" s="274">
        <v>2197</v>
      </c>
      <c r="I130" s="274">
        <v>679</v>
      </c>
      <c r="J130" s="274">
        <v>1234.26</v>
      </c>
      <c r="K130" s="450">
        <v>383.4</v>
      </c>
      <c r="L130" s="273">
        <f t="shared" si="82"/>
        <v>8695.23</v>
      </c>
      <c r="M130" s="274">
        <v>8337.83</v>
      </c>
      <c r="N130" s="274">
        <v>357.4</v>
      </c>
      <c r="O130" s="274"/>
      <c r="P130" s="274">
        <v>31</v>
      </c>
      <c r="Q130" s="14">
        <f t="shared" si="78"/>
        <v>280.49129032258065</v>
      </c>
      <c r="R130" s="274">
        <v>100</v>
      </c>
      <c r="S130" s="274">
        <v>930</v>
      </c>
      <c r="T130" s="274">
        <v>23021</v>
      </c>
      <c r="U130" s="274">
        <v>79063</v>
      </c>
      <c r="V130" s="204"/>
      <c r="W130" s="204"/>
      <c r="X130" s="280"/>
      <c r="Y130" s="273">
        <f t="shared" si="83"/>
        <v>8570.699999999999</v>
      </c>
      <c r="Z130" s="274">
        <v>8208.8</v>
      </c>
      <c r="AA130" s="274">
        <v>361.9</v>
      </c>
      <c r="AB130" s="274"/>
      <c r="AC130" s="274">
        <v>31</v>
      </c>
      <c r="AD130" s="14">
        <f t="shared" si="79"/>
        <v>276.47419354838706</v>
      </c>
      <c r="AE130" s="274">
        <v>100</v>
      </c>
      <c r="AF130" s="274">
        <v>940</v>
      </c>
      <c r="AG130" s="274">
        <v>18035</v>
      </c>
      <c r="AH130" s="274">
        <v>85090</v>
      </c>
      <c r="AI130" s="32"/>
      <c r="AJ130" s="32"/>
      <c r="AK130" s="280"/>
      <c r="AL130" s="39">
        <f t="shared" si="84"/>
        <v>33691</v>
      </c>
      <c r="AM130" s="14"/>
      <c r="AN130" s="14"/>
      <c r="AO130" s="14">
        <v>21746</v>
      </c>
      <c r="AP130" s="274">
        <v>2664.85</v>
      </c>
      <c r="AQ130" s="274">
        <v>2081.6</v>
      </c>
      <c r="AR130" s="274">
        <v>583</v>
      </c>
      <c r="AS130" s="274">
        <v>29070</v>
      </c>
      <c r="AT130" s="14"/>
      <c r="AU130" s="18">
        <v>11945</v>
      </c>
      <c r="AV130" s="36">
        <v>0.35</v>
      </c>
      <c r="AW130" s="274">
        <v>1180</v>
      </c>
      <c r="AX130" s="22">
        <v>69.42</v>
      </c>
      <c r="AY130" s="472">
        <v>29.5</v>
      </c>
      <c r="AZ130" s="472">
        <v>1.08</v>
      </c>
      <c r="BA130" s="472">
        <v>35.5</v>
      </c>
      <c r="BB130" s="472">
        <v>0.11</v>
      </c>
      <c r="BC130" s="472">
        <v>20.67</v>
      </c>
      <c r="BD130" s="472">
        <v>40.31</v>
      </c>
      <c r="BE130" s="472">
        <v>3.23</v>
      </c>
      <c r="BF130" s="472">
        <v>0.18</v>
      </c>
      <c r="BG130" s="286"/>
      <c r="BH130" s="273">
        <v>68514</v>
      </c>
      <c r="BI130" s="274">
        <v>70255</v>
      </c>
      <c r="BJ130" s="274"/>
      <c r="BK130" s="274">
        <v>199</v>
      </c>
      <c r="BL130" s="274">
        <v>201</v>
      </c>
      <c r="BM130" s="274"/>
      <c r="BN130" s="274">
        <f t="shared" si="85"/>
        <v>8556</v>
      </c>
      <c r="BO130" s="274">
        <v>86</v>
      </c>
      <c r="BP130" s="450">
        <v>8470</v>
      </c>
      <c r="BQ130" s="28">
        <v>15.67</v>
      </c>
      <c r="BR130" s="29">
        <v>17.6</v>
      </c>
      <c r="BS130" s="29"/>
      <c r="BT130" s="29">
        <v>39.64</v>
      </c>
      <c r="BU130" s="29">
        <v>32.76</v>
      </c>
      <c r="BV130" s="29"/>
      <c r="BW130" s="29">
        <v>1.63</v>
      </c>
      <c r="BX130" s="29">
        <v>1.84</v>
      </c>
      <c r="BY130" s="29"/>
      <c r="BZ130" s="29">
        <v>8.23</v>
      </c>
      <c r="CA130" s="29">
        <v>8.4</v>
      </c>
      <c r="CB130" s="30"/>
      <c r="CC130" s="28">
        <v>6.87</v>
      </c>
      <c r="CD130" s="29">
        <v>0.4</v>
      </c>
      <c r="CE130" s="29">
        <v>2.8</v>
      </c>
      <c r="CF130" s="29">
        <v>2.8</v>
      </c>
      <c r="CG130" s="45">
        <v>0.005</v>
      </c>
      <c r="CH130" s="45">
        <v>0.004</v>
      </c>
      <c r="CI130" s="45">
        <v>0</v>
      </c>
      <c r="CJ130" s="46">
        <v>0</v>
      </c>
    </row>
    <row r="131" spans="1:88" ht="16.5" customHeight="1">
      <c r="A131" s="592"/>
      <c r="B131" s="3" t="s">
        <v>27</v>
      </c>
      <c r="C131" s="273">
        <v>15696.66</v>
      </c>
      <c r="D131" s="465">
        <v>31</v>
      </c>
      <c r="E131" s="68">
        <f t="shared" si="76"/>
        <v>1968.9</v>
      </c>
      <c r="F131" s="274">
        <v>1784.5</v>
      </c>
      <c r="G131" s="274">
        <v>184.4</v>
      </c>
      <c r="H131" s="274">
        <v>1686</v>
      </c>
      <c r="I131" s="274">
        <v>580</v>
      </c>
      <c r="J131" s="274">
        <v>604.79</v>
      </c>
      <c r="K131" s="450">
        <v>561.7</v>
      </c>
      <c r="L131" s="273">
        <f t="shared" si="82"/>
        <v>6981.53</v>
      </c>
      <c r="M131" s="274">
        <v>6703.63</v>
      </c>
      <c r="N131" s="274">
        <v>277.9</v>
      </c>
      <c r="O131" s="274"/>
      <c r="P131" s="274">
        <v>28</v>
      </c>
      <c r="Q131" s="14">
        <f t="shared" si="78"/>
        <v>249.34035714285713</v>
      </c>
      <c r="R131" s="274">
        <v>93.3</v>
      </c>
      <c r="S131" s="274">
        <v>960</v>
      </c>
      <c r="T131" s="274">
        <v>38898</v>
      </c>
      <c r="U131" s="274">
        <v>106414</v>
      </c>
      <c r="V131" s="204"/>
      <c r="W131" s="204"/>
      <c r="X131" s="280"/>
      <c r="Y131" s="273">
        <f t="shared" si="83"/>
        <v>7312.01</v>
      </c>
      <c r="Z131" s="274">
        <v>7029.01</v>
      </c>
      <c r="AA131" s="274">
        <v>283</v>
      </c>
      <c r="AB131" s="274"/>
      <c r="AC131" s="274">
        <v>28</v>
      </c>
      <c r="AD131" s="14">
        <f t="shared" si="79"/>
        <v>261.1432142857143</v>
      </c>
      <c r="AE131" s="274">
        <v>93.3</v>
      </c>
      <c r="AF131" s="274">
        <v>945</v>
      </c>
      <c r="AG131" s="274">
        <v>44940</v>
      </c>
      <c r="AH131" s="274">
        <v>101639</v>
      </c>
      <c r="AI131" s="32"/>
      <c r="AJ131" s="32"/>
      <c r="AK131" s="280"/>
      <c r="AL131" s="39">
        <f t="shared" si="84"/>
        <v>30277</v>
      </c>
      <c r="AM131" s="14"/>
      <c r="AN131" s="14"/>
      <c r="AO131" s="14">
        <v>18882</v>
      </c>
      <c r="AP131" s="274">
        <v>2313.69</v>
      </c>
      <c r="AQ131" s="274">
        <v>1785.69</v>
      </c>
      <c r="AR131" s="274">
        <v>528</v>
      </c>
      <c r="AS131" s="274">
        <v>19689</v>
      </c>
      <c r="AT131" s="14"/>
      <c r="AU131" s="18">
        <v>11395</v>
      </c>
      <c r="AV131" s="36">
        <v>0.29</v>
      </c>
      <c r="AW131" s="274">
        <v>1160</v>
      </c>
      <c r="AX131" s="22">
        <v>70.86</v>
      </c>
      <c r="AY131" s="472">
        <v>28</v>
      </c>
      <c r="AZ131" s="472">
        <v>1.14</v>
      </c>
      <c r="BA131" s="472">
        <v>29.92</v>
      </c>
      <c r="BB131" s="472">
        <v>0.2</v>
      </c>
      <c r="BC131" s="472">
        <v>18.63</v>
      </c>
      <c r="BD131" s="472">
        <v>45.69</v>
      </c>
      <c r="BE131" s="472">
        <v>5.36</v>
      </c>
      <c r="BF131" s="472">
        <v>0.2</v>
      </c>
      <c r="BG131" s="286"/>
      <c r="BH131" s="273">
        <v>71815</v>
      </c>
      <c r="BI131" s="274">
        <v>76479</v>
      </c>
      <c r="BJ131" s="274"/>
      <c r="BK131" s="274">
        <v>197</v>
      </c>
      <c r="BL131" s="274">
        <v>203</v>
      </c>
      <c r="BM131" s="274"/>
      <c r="BN131" s="274">
        <f t="shared" si="85"/>
        <v>7706</v>
      </c>
      <c r="BO131" s="274">
        <v>84</v>
      </c>
      <c r="BP131" s="450">
        <v>7622</v>
      </c>
      <c r="BQ131" s="28">
        <v>12.08</v>
      </c>
      <c r="BR131" s="29">
        <v>11.62</v>
      </c>
      <c r="BS131" s="29"/>
      <c r="BT131" s="29">
        <v>35.56</v>
      </c>
      <c r="BU131" s="29">
        <v>38.49</v>
      </c>
      <c r="BV131" s="29"/>
      <c r="BW131" s="29">
        <v>3.15</v>
      </c>
      <c r="BX131" s="29">
        <v>3.31</v>
      </c>
      <c r="BY131" s="29"/>
      <c r="BZ131" s="29">
        <v>7.67</v>
      </c>
      <c r="CA131" s="29">
        <v>8.49</v>
      </c>
      <c r="CB131" s="30"/>
      <c r="CC131" s="28">
        <v>7.42</v>
      </c>
      <c r="CD131" s="29">
        <v>0.5</v>
      </c>
      <c r="CE131" s="29">
        <v>1.6</v>
      </c>
      <c r="CF131" s="29">
        <v>3.6</v>
      </c>
      <c r="CG131" s="45">
        <v>0.007</v>
      </c>
      <c r="CH131" s="45">
        <v>0.002</v>
      </c>
      <c r="CI131" s="45">
        <v>0</v>
      </c>
      <c r="CJ131" s="46">
        <v>0</v>
      </c>
    </row>
    <row r="132" spans="1:88" ht="16.5" customHeight="1">
      <c r="A132" s="592"/>
      <c r="B132" s="3" t="s">
        <v>28</v>
      </c>
      <c r="C132" s="273">
        <v>10364.78</v>
      </c>
      <c r="D132" s="465">
        <v>21</v>
      </c>
      <c r="E132" s="68">
        <f t="shared" si="76"/>
        <v>1292.73</v>
      </c>
      <c r="F132" s="274">
        <v>1168.03</v>
      </c>
      <c r="G132" s="274">
        <v>124.7</v>
      </c>
      <c r="H132" s="274">
        <v>463</v>
      </c>
      <c r="I132" s="274">
        <v>258</v>
      </c>
      <c r="J132" s="274">
        <v>226.02</v>
      </c>
      <c r="K132" s="450">
        <v>88.5</v>
      </c>
      <c r="L132" s="273">
        <f t="shared" si="82"/>
        <v>4885.89</v>
      </c>
      <c r="M132" s="274">
        <v>4760.89</v>
      </c>
      <c r="N132" s="274">
        <v>125</v>
      </c>
      <c r="O132" s="274"/>
      <c r="P132" s="274">
        <v>18</v>
      </c>
      <c r="Q132" s="14">
        <f t="shared" si="78"/>
        <v>271.43833333333333</v>
      </c>
      <c r="R132" s="274">
        <v>58.1</v>
      </c>
      <c r="S132" s="274">
        <v>980</v>
      </c>
      <c r="T132" s="274">
        <v>37412</v>
      </c>
      <c r="U132" s="274">
        <v>88251</v>
      </c>
      <c r="V132" s="204"/>
      <c r="W132" s="204"/>
      <c r="X132" s="280"/>
      <c r="Y132" s="273">
        <f t="shared" si="83"/>
        <v>4761.67</v>
      </c>
      <c r="Z132" s="274">
        <v>4638.07</v>
      </c>
      <c r="AA132" s="274">
        <v>123.6</v>
      </c>
      <c r="AB132" s="274"/>
      <c r="AC132" s="274">
        <v>18</v>
      </c>
      <c r="AD132" s="14">
        <f t="shared" si="79"/>
        <v>264.5372222222222</v>
      </c>
      <c r="AE132" s="274">
        <v>58.1</v>
      </c>
      <c r="AF132" s="274">
        <v>960</v>
      </c>
      <c r="AG132" s="274">
        <v>15446</v>
      </c>
      <c r="AH132" s="274">
        <v>90531</v>
      </c>
      <c r="AI132" s="32"/>
      <c r="AJ132" s="32"/>
      <c r="AK132" s="280"/>
      <c r="AL132" s="39">
        <f t="shared" si="84"/>
        <v>21531</v>
      </c>
      <c r="AM132" s="14"/>
      <c r="AN132" s="14"/>
      <c r="AO132" s="14">
        <v>13513</v>
      </c>
      <c r="AP132" s="274">
        <v>1656.38</v>
      </c>
      <c r="AQ132" s="274">
        <v>1261.38</v>
      </c>
      <c r="AR132" s="274">
        <v>395</v>
      </c>
      <c r="AS132" s="274">
        <v>15018</v>
      </c>
      <c r="AT132" s="14"/>
      <c r="AU132" s="18">
        <v>8018</v>
      </c>
      <c r="AV132" s="36">
        <v>0.3</v>
      </c>
      <c r="AW132" s="274">
        <v>1145</v>
      </c>
      <c r="AX132" s="22">
        <v>68.96</v>
      </c>
      <c r="AY132" s="472">
        <v>28.36</v>
      </c>
      <c r="AZ132" s="472">
        <v>2.68</v>
      </c>
      <c r="BA132" s="472">
        <v>27.48</v>
      </c>
      <c r="BB132" s="472">
        <v>0.12</v>
      </c>
      <c r="BC132" s="472">
        <v>20.31</v>
      </c>
      <c r="BD132" s="472">
        <v>48.32</v>
      </c>
      <c r="BE132" s="472">
        <v>3.54</v>
      </c>
      <c r="BF132" s="472">
        <v>0.23</v>
      </c>
      <c r="BG132" s="286"/>
      <c r="BH132" s="273">
        <v>66029</v>
      </c>
      <c r="BI132" s="274">
        <v>63315</v>
      </c>
      <c r="BJ132" s="274"/>
      <c r="BK132" s="274">
        <v>199</v>
      </c>
      <c r="BL132" s="274">
        <v>201</v>
      </c>
      <c r="BM132" s="274"/>
      <c r="BN132" s="274">
        <f t="shared" si="85"/>
        <v>5632</v>
      </c>
      <c r="BO132" s="274">
        <v>106</v>
      </c>
      <c r="BP132" s="450">
        <v>5526</v>
      </c>
      <c r="BQ132" s="28">
        <v>15.02</v>
      </c>
      <c r="BR132" s="29">
        <v>17.1</v>
      </c>
      <c r="BS132" s="29"/>
      <c r="BT132" s="29">
        <v>40.95</v>
      </c>
      <c r="BU132" s="29">
        <v>44.11</v>
      </c>
      <c r="BV132" s="29"/>
      <c r="BW132" s="29">
        <v>1.91</v>
      </c>
      <c r="BX132" s="29">
        <v>2.26</v>
      </c>
      <c r="BY132" s="29"/>
      <c r="BZ132" s="29">
        <v>7.6</v>
      </c>
      <c r="CA132" s="29">
        <v>8.34</v>
      </c>
      <c r="CB132" s="30"/>
      <c r="CC132" s="28">
        <v>7.73</v>
      </c>
      <c r="CD132" s="29">
        <v>1.7</v>
      </c>
      <c r="CE132" s="29">
        <v>2.4</v>
      </c>
      <c r="CF132" s="29">
        <v>2.8</v>
      </c>
      <c r="CG132" s="45">
        <v>0.006</v>
      </c>
      <c r="CH132" s="45">
        <v>0.007</v>
      </c>
      <c r="CI132" s="45">
        <v>0</v>
      </c>
      <c r="CJ132" s="46">
        <v>0</v>
      </c>
    </row>
    <row r="133" spans="1:88" ht="16.5" customHeight="1">
      <c r="A133" s="592"/>
      <c r="B133" s="3" t="s">
        <v>29</v>
      </c>
      <c r="C133" s="273">
        <v>15449.12</v>
      </c>
      <c r="D133" s="465">
        <v>30</v>
      </c>
      <c r="E133" s="68">
        <f t="shared" si="76"/>
        <v>2232.4</v>
      </c>
      <c r="F133" s="274">
        <v>2043.6</v>
      </c>
      <c r="G133" s="274">
        <v>188.8</v>
      </c>
      <c r="H133" s="274">
        <v>332</v>
      </c>
      <c r="I133" s="274">
        <v>332</v>
      </c>
      <c r="J133" s="274"/>
      <c r="K133" s="450">
        <v>0</v>
      </c>
      <c r="L133" s="273">
        <f t="shared" si="82"/>
        <v>7529.81</v>
      </c>
      <c r="M133" s="274">
        <v>7413.71</v>
      </c>
      <c r="N133" s="274">
        <v>116.1</v>
      </c>
      <c r="O133" s="274"/>
      <c r="P133" s="274">
        <v>28</v>
      </c>
      <c r="Q133" s="14">
        <f t="shared" si="78"/>
        <v>268.9217857142857</v>
      </c>
      <c r="R133" s="274">
        <v>93.3</v>
      </c>
      <c r="S133" s="274">
        <v>980</v>
      </c>
      <c r="T133" s="274">
        <v>8928</v>
      </c>
      <c r="U133" s="274">
        <v>57066</v>
      </c>
      <c r="V133" s="204"/>
      <c r="W133" s="204"/>
      <c r="X133" s="280"/>
      <c r="Y133" s="273">
        <f t="shared" si="83"/>
        <v>7297.59</v>
      </c>
      <c r="Z133" s="274">
        <v>7187.59</v>
      </c>
      <c r="AA133" s="274">
        <v>110</v>
      </c>
      <c r="AB133" s="274"/>
      <c r="AC133" s="274">
        <v>28</v>
      </c>
      <c r="AD133" s="14">
        <f t="shared" si="79"/>
        <v>260.6282142857143</v>
      </c>
      <c r="AE133" s="274">
        <v>93.3</v>
      </c>
      <c r="AF133" s="274">
        <v>950</v>
      </c>
      <c r="AG133" s="274">
        <v>6545</v>
      </c>
      <c r="AH133" s="274">
        <v>55111</v>
      </c>
      <c r="AI133" s="32"/>
      <c r="AJ133" s="32"/>
      <c r="AK133" s="280"/>
      <c r="AL133" s="39">
        <f t="shared" si="84"/>
        <v>31102</v>
      </c>
      <c r="AM133" s="14"/>
      <c r="AN133" s="14"/>
      <c r="AO133" s="14">
        <v>18205</v>
      </c>
      <c r="AP133" s="274">
        <v>2231.47</v>
      </c>
      <c r="AQ133" s="274">
        <v>1973.47</v>
      </c>
      <c r="AR133" s="274">
        <v>258</v>
      </c>
      <c r="AS133" s="274">
        <v>10953</v>
      </c>
      <c r="AT133" s="14"/>
      <c r="AU133" s="18">
        <v>12897</v>
      </c>
      <c r="AV133" s="36">
        <v>0.31</v>
      </c>
      <c r="AW133" s="274">
        <v>1212</v>
      </c>
      <c r="AX133" s="22">
        <v>59.32</v>
      </c>
      <c r="AY133" s="472">
        <v>35.26</v>
      </c>
      <c r="AZ133" s="472">
        <v>5.42</v>
      </c>
      <c r="BA133" s="472">
        <v>28.7</v>
      </c>
      <c r="BB133" s="472">
        <v>0.11</v>
      </c>
      <c r="BC133" s="472">
        <v>21.36</v>
      </c>
      <c r="BD133" s="472">
        <v>45.32</v>
      </c>
      <c r="BE133" s="472">
        <v>4.32</v>
      </c>
      <c r="BF133" s="472">
        <v>0.19</v>
      </c>
      <c r="BG133" s="286"/>
      <c r="BH133" s="273">
        <v>75478</v>
      </c>
      <c r="BI133" s="274">
        <v>68079</v>
      </c>
      <c r="BJ133" s="274"/>
      <c r="BK133" s="274">
        <v>197</v>
      </c>
      <c r="BL133" s="274">
        <v>202</v>
      </c>
      <c r="BM133" s="274"/>
      <c r="BN133" s="274">
        <f t="shared" si="85"/>
        <v>7603</v>
      </c>
      <c r="BO133" s="274">
        <v>121</v>
      </c>
      <c r="BP133" s="450">
        <v>7482</v>
      </c>
      <c r="BQ133" s="28">
        <v>15.74</v>
      </c>
      <c r="BR133" s="29">
        <v>13.21</v>
      </c>
      <c r="BS133" s="29"/>
      <c r="BT133" s="29">
        <v>46.73</v>
      </c>
      <c r="BU133" s="29">
        <v>44.39</v>
      </c>
      <c r="BV133" s="29"/>
      <c r="BW133" s="29">
        <v>2.13</v>
      </c>
      <c r="BX133" s="29">
        <v>2.04</v>
      </c>
      <c r="BY133" s="29"/>
      <c r="BZ133" s="29">
        <v>8.1</v>
      </c>
      <c r="CA133" s="29">
        <v>7.19</v>
      </c>
      <c r="CB133" s="30"/>
      <c r="CC133" s="28">
        <v>7.25</v>
      </c>
      <c r="CD133" s="29">
        <v>1.4</v>
      </c>
      <c r="CE133" s="29">
        <v>1.8</v>
      </c>
      <c r="CF133" s="29">
        <v>0.4</v>
      </c>
      <c r="CG133" s="45">
        <v>0.008</v>
      </c>
      <c r="CH133" s="45">
        <v>0.008</v>
      </c>
      <c r="CI133" s="45">
        <v>0</v>
      </c>
      <c r="CJ133" s="46">
        <v>0</v>
      </c>
    </row>
    <row r="134" spans="1:88" ht="16.5" customHeight="1" thickBot="1">
      <c r="A134" s="593"/>
      <c r="B134" s="4" t="s">
        <v>30</v>
      </c>
      <c r="C134" s="276">
        <v>15832.79</v>
      </c>
      <c r="D134" s="670">
        <v>31</v>
      </c>
      <c r="E134" s="69">
        <f>SUM(G134+F134)</f>
        <v>2338.25</v>
      </c>
      <c r="F134" s="277">
        <v>2198.25</v>
      </c>
      <c r="G134" s="277">
        <v>140</v>
      </c>
      <c r="H134" s="277">
        <v>340</v>
      </c>
      <c r="I134" s="277">
        <v>340</v>
      </c>
      <c r="J134" s="277"/>
      <c r="K134" s="454">
        <v>0</v>
      </c>
      <c r="L134" s="276">
        <f t="shared" si="82"/>
        <v>8305.89</v>
      </c>
      <c r="M134" s="277">
        <v>8180.89</v>
      </c>
      <c r="N134" s="277">
        <v>125</v>
      </c>
      <c r="O134" s="277"/>
      <c r="P134" s="277">
        <v>31</v>
      </c>
      <c r="Q134" s="15">
        <f t="shared" si="78"/>
        <v>267.931935483871</v>
      </c>
      <c r="R134" s="277">
        <v>100</v>
      </c>
      <c r="S134" s="277">
        <v>930</v>
      </c>
      <c r="T134" s="277">
        <v>70628</v>
      </c>
      <c r="U134" s="277">
        <v>84890</v>
      </c>
      <c r="V134" s="208"/>
      <c r="W134" s="208"/>
      <c r="X134" s="278"/>
      <c r="Y134" s="276">
        <f t="shared" si="83"/>
        <v>8093.61</v>
      </c>
      <c r="Z134" s="277">
        <v>7982.36</v>
      </c>
      <c r="AA134" s="277">
        <v>111.25</v>
      </c>
      <c r="AB134" s="277"/>
      <c r="AC134" s="277">
        <v>31</v>
      </c>
      <c r="AD134" s="15">
        <f t="shared" si="79"/>
        <v>261.0841935483871</v>
      </c>
      <c r="AE134" s="277">
        <v>100</v>
      </c>
      <c r="AF134" s="277">
        <v>920</v>
      </c>
      <c r="AG134" s="277">
        <v>82763</v>
      </c>
      <c r="AH134" s="277">
        <v>87139</v>
      </c>
      <c r="AI134" s="99"/>
      <c r="AJ134" s="99"/>
      <c r="AK134" s="278"/>
      <c r="AL134" s="40">
        <f t="shared" si="84"/>
        <v>32011</v>
      </c>
      <c r="AM134" s="15"/>
      <c r="AN134" s="15"/>
      <c r="AO134" s="15">
        <v>18115</v>
      </c>
      <c r="AP134" s="277">
        <v>2219.69</v>
      </c>
      <c r="AQ134" s="277">
        <v>2101.69</v>
      </c>
      <c r="AR134" s="277">
        <v>118</v>
      </c>
      <c r="AS134" s="277">
        <v>5416</v>
      </c>
      <c r="AT134" s="15"/>
      <c r="AU134" s="19">
        <v>13896</v>
      </c>
      <c r="AV134" s="65">
        <v>0.29</v>
      </c>
      <c r="AW134" s="277">
        <v>1136</v>
      </c>
      <c r="AX134" s="43">
        <v>60.38</v>
      </c>
      <c r="AY134" s="473">
        <v>34.96</v>
      </c>
      <c r="AZ134" s="473">
        <v>4.66</v>
      </c>
      <c r="BA134" s="473">
        <v>34.54</v>
      </c>
      <c r="BB134" s="473">
        <v>0.2</v>
      </c>
      <c r="BC134" s="473">
        <v>20.12</v>
      </c>
      <c r="BD134" s="473">
        <v>39.58</v>
      </c>
      <c r="BE134" s="473">
        <v>5.36</v>
      </c>
      <c r="BF134" s="473">
        <v>0.2</v>
      </c>
      <c r="BG134" s="87"/>
      <c r="BH134" s="276">
        <v>79331</v>
      </c>
      <c r="BI134" s="277">
        <v>78419</v>
      </c>
      <c r="BJ134" s="277"/>
      <c r="BK134" s="277">
        <v>196</v>
      </c>
      <c r="BL134" s="277">
        <v>203</v>
      </c>
      <c r="BM134" s="277"/>
      <c r="BN134" s="277">
        <f>+BO134+BP134</f>
        <v>7324</v>
      </c>
      <c r="BO134" s="277">
        <v>28</v>
      </c>
      <c r="BP134" s="454">
        <v>7296</v>
      </c>
      <c r="BQ134" s="42">
        <v>12.08</v>
      </c>
      <c r="BR134" s="31">
        <v>18</v>
      </c>
      <c r="BS134" s="31"/>
      <c r="BT134" s="31">
        <v>58.81</v>
      </c>
      <c r="BU134" s="31">
        <v>54.42</v>
      </c>
      <c r="BV134" s="31"/>
      <c r="BW134" s="31">
        <v>1.6</v>
      </c>
      <c r="BX134" s="31">
        <v>2.31</v>
      </c>
      <c r="BY134" s="31"/>
      <c r="BZ134" s="31">
        <v>5.41</v>
      </c>
      <c r="CA134" s="31">
        <v>6.3</v>
      </c>
      <c r="CB134" s="73"/>
      <c r="CC134" s="42">
        <v>6.74</v>
      </c>
      <c r="CD134" s="31">
        <v>0.4</v>
      </c>
      <c r="CE134" s="31">
        <v>3.2</v>
      </c>
      <c r="CF134" s="31">
        <v>21.2</v>
      </c>
      <c r="CG134" s="294">
        <v>0.003</v>
      </c>
      <c r="CH134" s="294">
        <v>0.057</v>
      </c>
      <c r="CI134" s="294">
        <v>0</v>
      </c>
      <c r="CJ134" s="295">
        <v>0</v>
      </c>
    </row>
    <row r="135" spans="1:88" ht="16.5" customHeight="1">
      <c r="A135" s="590" t="s">
        <v>58</v>
      </c>
      <c r="B135" s="2" t="s">
        <v>48</v>
      </c>
      <c r="C135" s="52">
        <f>SUM(C136:C147)</f>
        <v>92762</v>
      </c>
      <c r="D135" s="47">
        <f>SUM(D136:D147)</f>
        <v>315</v>
      </c>
      <c r="E135" s="47">
        <f aca="true" t="shared" si="86" ref="E135:E147">F135+G135</f>
        <v>13751</v>
      </c>
      <c r="F135" s="47">
        <f aca="true" t="shared" si="87" ref="F135:K135">SUM(F136:F147)</f>
        <v>11528</v>
      </c>
      <c r="G135" s="47">
        <f t="shared" si="87"/>
        <v>2223</v>
      </c>
      <c r="H135" s="47">
        <f>+I135+J135</f>
        <v>3461</v>
      </c>
      <c r="I135" s="47">
        <f t="shared" si="87"/>
        <v>3132</v>
      </c>
      <c r="J135" s="47">
        <f t="shared" si="87"/>
        <v>329</v>
      </c>
      <c r="K135" s="48">
        <f t="shared" si="87"/>
        <v>0</v>
      </c>
      <c r="L135" s="49">
        <f aca="true" t="shared" si="88" ref="L135:L146">SUM(M135:O135)</f>
        <v>93880</v>
      </c>
      <c r="M135" s="50">
        <f>SUM(M136:M147)</f>
        <v>90420</v>
      </c>
      <c r="N135" s="50">
        <f>SUM(N136:N147)</f>
        <v>3460</v>
      </c>
      <c r="O135" s="50"/>
      <c r="P135" s="50">
        <f>SUM(P136:P147)</f>
        <v>307</v>
      </c>
      <c r="Q135" s="50">
        <v>306</v>
      </c>
      <c r="R135" s="50">
        <v>84</v>
      </c>
      <c r="S135" s="50">
        <v>899</v>
      </c>
      <c r="T135" s="281">
        <f>SUM(T136:T147)</f>
        <v>70859</v>
      </c>
      <c r="U135" s="296"/>
      <c r="V135" s="296"/>
      <c r="W135" s="296"/>
      <c r="X135" s="297">
        <v>3.46</v>
      </c>
      <c r="Y135" s="91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214"/>
      <c r="AL135" s="49">
        <f>SUM(AL136:AL147)</f>
        <v>143584</v>
      </c>
      <c r="AM135" s="50">
        <f>SUM(AM136:AM147)</f>
        <v>119710</v>
      </c>
      <c r="AN135" s="50">
        <f>SUM(AN136:AN147)</f>
        <v>1035118</v>
      </c>
      <c r="AO135" s="50"/>
      <c r="AP135" s="50"/>
      <c r="AQ135" s="50"/>
      <c r="AR135" s="50"/>
      <c r="AS135" s="50"/>
      <c r="AT135" s="50"/>
      <c r="AU135" s="51">
        <f aca="true" t="shared" si="89" ref="AU135:AU147">AL135-AM135</f>
        <v>23874</v>
      </c>
      <c r="AV135" s="37">
        <f>AVERAGE(AV136:AV147)</f>
        <v>0.3833333333333333</v>
      </c>
      <c r="AW135" s="47">
        <v>1510</v>
      </c>
      <c r="AX135" s="90">
        <v>54</v>
      </c>
      <c r="AY135" s="90">
        <v>37</v>
      </c>
      <c r="AZ135" s="90">
        <v>9</v>
      </c>
      <c r="BA135" s="90">
        <v>22</v>
      </c>
      <c r="BB135" s="90">
        <v>2</v>
      </c>
      <c r="BC135" s="90">
        <v>17</v>
      </c>
      <c r="BD135" s="90">
        <v>51</v>
      </c>
      <c r="BE135" s="90">
        <v>4</v>
      </c>
      <c r="BF135" s="90">
        <v>4</v>
      </c>
      <c r="BG135" s="88"/>
      <c r="BH135" s="52">
        <f>AVERAGE(BH136:BH147)</f>
        <v>62818.5</v>
      </c>
      <c r="BI135" s="47"/>
      <c r="BJ135" s="47"/>
      <c r="BK135" s="47">
        <v>169</v>
      </c>
      <c r="BL135" s="47"/>
      <c r="BM135" s="47"/>
      <c r="BN135" s="12">
        <f>SUM(BN136:BN147)</f>
        <v>11182</v>
      </c>
      <c r="BO135" s="47"/>
      <c r="BP135" s="48">
        <f>SUM(BP136:BP147)</f>
        <v>11182</v>
      </c>
      <c r="BQ135" s="23">
        <v>2.35</v>
      </c>
      <c r="BR135" s="24"/>
      <c r="BS135" s="24"/>
      <c r="BT135" s="24">
        <v>45.04</v>
      </c>
      <c r="BU135" s="24"/>
      <c r="BV135" s="24"/>
      <c r="BW135" s="24">
        <v>1.3</v>
      </c>
      <c r="BX135" s="24"/>
      <c r="BY135" s="24"/>
      <c r="BZ135" s="24">
        <v>3.2</v>
      </c>
      <c r="CA135" s="24"/>
      <c r="CB135" s="25"/>
      <c r="CC135" s="23">
        <v>7.3</v>
      </c>
      <c r="CD135" s="24">
        <v>25.8</v>
      </c>
      <c r="CE135" s="24">
        <v>53.2</v>
      </c>
      <c r="CF135" s="24">
        <v>58.8</v>
      </c>
      <c r="CG135" s="24">
        <v>0.17</v>
      </c>
      <c r="CH135" s="24">
        <v>0.381</v>
      </c>
      <c r="CI135" s="24">
        <v>0.043</v>
      </c>
      <c r="CJ135" s="25">
        <v>0.032</v>
      </c>
    </row>
    <row r="136" spans="1:88" ht="16.5" customHeight="1">
      <c r="A136" s="591"/>
      <c r="B136" s="3" t="s">
        <v>19</v>
      </c>
      <c r="C136" s="39">
        <v>9219</v>
      </c>
      <c r="D136" s="14">
        <v>31</v>
      </c>
      <c r="E136" s="14">
        <f t="shared" si="86"/>
        <v>1402</v>
      </c>
      <c r="F136" s="14">
        <v>1142</v>
      </c>
      <c r="G136" s="14">
        <v>260</v>
      </c>
      <c r="H136" s="14">
        <v>309</v>
      </c>
      <c r="I136" s="14">
        <v>309</v>
      </c>
      <c r="J136" s="14">
        <v>0</v>
      </c>
      <c r="K136" s="18">
        <v>0</v>
      </c>
      <c r="L136" s="39">
        <f t="shared" si="88"/>
        <v>9310</v>
      </c>
      <c r="M136" s="14">
        <v>9001</v>
      </c>
      <c r="N136" s="14">
        <v>309</v>
      </c>
      <c r="O136" s="14"/>
      <c r="P136" s="14">
        <v>30</v>
      </c>
      <c r="Q136" s="14">
        <f aca="true" t="shared" si="90" ref="Q136:Q160">L136/P136</f>
        <v>310.3333333333333</v>
      </c>
      <c r="R136" s="14"/>
      <c r="S136" s="14">
        <v>898</v>
      </c>
      <c r="T136" s="14">
        <v>7651</v>
      </c>
      <c r="U136" s="298"/>
      <c r="V136" s="298"/>
      <c r="W136" s="298"/>
      <c r="X136" s="55">
        <v>3.3</v>
      </c>
      <c r="Y136" s="95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152"/>
      <c r="AL136" s="38">
        <v>12965</v>
      </c>
      <c r="AM136" s="13">
        <v>9943</v>
      </c>
      <c r="AN136" s="13">
        <v>88124</v>
      </c>
      <c r="AO136" s="13"/>
      <c r="AP136" s="13"/>
      <c r="AQ136" s="13"/>
      <c r="AR136" s="13"/>
      <c r="AS136" s="13"/>
      <c r="AT136" s="13"/>
      <c r="AU136" s="17">
        <f t="shared" si="89"/>
        <v>3022</v>
      </c>
      <c r="AV136" s="35">
        <v>0.4</v>
      </c>
      <c r="AW136" s="13">
        <v>1500</v>
      </c>
      <c r="AX136" s="303">
        <v>54</v>
      </c>
      <c r="AY136" s="303">
        <v>36</v>
      </c>
      <c r="AZ136" s="303">
        <v>10</v>
      </c>
      <c r="BA136" s="303">
        <v>22</v>
      </c>
      <c r="BB136" s="303">
        <v>2</v>
      </c>
      <c r="BC136" s="303">
        <v>16</v>
      </c>
      <c r="BD136" s="303">
        <v>51</v>
      </c>
      <c r="BE136" s="303">
        <v>5</v>
      </c>
      <c r="BF136" s="303">
        <v>5</v>
      </c>
      <c r="BG136" s="300"/>
      <c r="BH136" s="13">
        <v>67093</v>
      </c>
      <c r="BI136" s="13"/>
      <c r="BJ136" s="13"/>
      <c r="BK136" s="13">
        <v>165</v>
      </c>
      <c r="BL136" s="13"/>
      <c r="BM136" s="13"/>
      <c r="BN136" s="438">
        <f>+BO136+BP136</f>
        <v>897</v>
      </c>
      <c r="BO136" s="13"/>
      <c r="BP136" s="17">
        <v>897</v>
      </c>
      <c r="BQ136" s="26">
        <v>2.72</v>
      </c>
      <c r="BR136" s="27"/>
      <c r="BS136" s="27"/>
      <c r="BT136" s="27">
        <v>55.49</v>
      </c>
      <c r="BU136" s="27"/>
      <c r="BV136" s="27"/>
      <c r="BW136" s="27">
        <v>1.3</v>
      </c>
      <c r="BX136" s="27"/>
      <c r="BY136" s="27"/>
      <c r="BZ136" s="27">
        <v>3.37</v>
      </c>
      <c r="CA136" s="27"/>
      <c r="CB136" s="44"/>
      <c r="CC136" s="28">
        <v>7.4</v>
      </c>
      <c r="CD136" s="29">
        <v>16.5</v>
      </c>
      <c r="CE136" s="29">
        <v>58.6</v>
      </c>
      <c r="CF136" s="29">
        <v>70</v>
      </c>
      <c r="CG136" s="78" t="s">
        <v>38</v>
      </c>
      <c r="CH136" s="29">
        <v>0.348</v>
      </c>
      <c r="CI136" s="78" t="s">
        <v>38</v>
      </c>
      <c r="CJ136" s="79" t="s">
        <v>38</v>
      </c>
    </row>
    <row r="137" spans="1:88" ht="16.5" customHeight="1">
      <c r="A137" s="591"/>
      <c r="B137" s="3" t="s">
        <v>20</v>
      </c>
      <c r="C137" s="39">
        <v>9689</v>
      </c>
      <c r="D137" s="14">
        <v>29</v>
      </c>
      <c r="E137" s="14">
        <f t="shared" si="86"/>
        <v>1190</v>
      </c>
      <c r="F137" s="14">
        <v>1013</v>
      </c>
      <c r="G137" s="14">
        <v>177</v>
      </c>
      <c r="H137" s="14">
        <v>302</v>
      </c>
      <c r="I137" s="14">
        <v>302</v>
      </c>
      <c r="J137" s="14">
        <v>0</v>
      </c>
      <c r="K137" s="18">
        <v>0</v>
      </c>
      <c r="L137" s="39">
        <f t="shared" si="88"/>
        <v>8301</v>
      </c>
      <c r="M137" s="14">
        <v>7999</v>
      </c>
      <c r="N137" s="14">
        <v>302</v>
      </c>
      <c r="O137" s="14"/>
      <c r="P137" s="14">
        <v>27</v>
      </c>
      <c r="Q137" s="14">
        <f t="shared" si="90"/>
        <v>307.44444444444446</v>
      </c>
      <c r="R137" s="14"/>
      <c r="S137" s="14">
        <v>896</v>
      </c>
      <c r="T137" s="14">
        <v>9028</v>
      </c>
      <c r="U137" s="298"/>
      <c r="V137" s="298"/>
      <c r="W137" s="298"/>
      <c r="X137" s="55">
        <v>3.4</v>
      </c>
      <c r="Y137" s="95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152"/>
      <c r="AL137" s="39">
        <v>12066</v>
      </c>
      <c r="AM137" s="14">
        <v>9408</v>
      </c>
      <c r="AN137" s="14">
        <v>83383</v>
      </c>
      <c r="AO137" s="14"/>
      <c r="AP137" s="14"/>
      <c r="AQ137" s="14"/>
      <c r="AR137" s="14"/>
      <c r="AS137" s="14"/>
      <c r="AT137" s="14"/>
      <c r="AU137" s="18">
        <f t="shared" si="89"/>
        <v>2658</v>
      </c>
      <c r="AV137" s="36">
        <v>0.4</v>
      </c>
      <c r="AW137" s="14">
        <v>1458</v>
      </c>
      <c r="AX137" s="304">
        <v>54</v>
      </c>
      <c r="AY137" s="304">
        <v>36</v>
      </c>
      <c r="AZ137" s="304">
        <v>10</v>
      </c>
      <c r="BA137" s="304">
        <v>21</v>
      </c>
      <c r="BB137" s="304">
        <v>2</v>
      </c>
      <c r="BC137" s="304">
        <v>17</v>
      </c>
      <c r="BD137" s="304">
        <v>51</v>
      </c>
      <c r="BE137" s="304">
        <v>5</v>
      </c>
      <c r="BF137" s="304">
        <v>5</v>
      </c>
      <c r="BG137" s="89"/>
      <c r="BH137" s="14">
        <v>65005</v>
      </c>
      <c r="BI137" s="14"/>
      <c r="BJ137" s="14"/>
      <c r="BK137" s="14">
        <v>168</v>
      </c>
      <c r="BL137" s="14"/>
      <c r="BM137" s="14"/>
      <c r="BN137" s="274">
        <f>+BO137+BP137</f>
        <v>1079</v>
      </c>
      <c r="BO137" s="14"/>
      <c r="BP137" s="18">
        <v>1079</v>
      </c>
      <c r="BQ137" s="28">
        <v>2.69</v>
      </c>
      <c r="BR137" s="29"/>
      <c r="BS137" s="29"/>
      <c r="BT137" s="29">
        <v>50.93</v>
      </c>
      <c r="BU137" s="29"/>
      <c r="BV137" s="29"/>
      <c r="BW137" s="29">
        <v>1.12</v>
      </c>
      <c r="BX137" s="29"/>
      <c r="BY137" s="29"/>
      <c r="BZ137" s="29">
        <v>3.66</v>
      </c>
      <c r="CA137" s="29"/>
      <c r="CB137" s="30"/>
      <c r="CC137" s="28">
        <v>7.5</v>
      </c>
      <c r="CD137" s="29">
        <v>13.8</v>
      </c>
      <c r="CE137" s="29">
        <v>52.9</v>
      </c>
      <c r="CF137" s="29">
        <v>63</v>
      </c>
      <c r="CG137" s="29">
        <v>0.003</v>
      </c>
      <c r="CH137" s="29">
        <v>0.566</v>
      </c>
      <c r="CI137" s="78" t="s">
        <v>38</v>
      </c>
      <c r="CJ137" s="79" t="s">
        <v>38</v>
      </c>
    </row>
    <row r="138" spans="1:88" ht="16.5" customHeight="1">
      <c r="A138" s="592"/>
      <c r="B138" s="3" t="s">
        <v>21</v>
      </c>
      <c r="C138" s="39">
        <v>9048</v>
      </c>
      <c r="D138" s="14">
        <v>31</v>
      </c>
      <c r="E138" s="14">
        <f t="shared" si="86"/>
        <v>1321</v>
      </c>
      <c r="F138" s="14">
        <v>1083</v>
      </c>
      <c r="G138" s="14">
        <v>238</v>
      </c>
      <c r="H138" s="14">
        <v>114</v>
      </c>
      <c r="I138" s="14">
        <v>114</v>
      </c>
      <c r="J138" s="14">
        <v>0</v>
      </c>
      <c r="K138" s="18">
        <v>0</v>
      </c>
      <c r="L138" s="39">
        <f t="shared" si="88"/>
        <v>8768</v>
      </c>
      <c r="M138" s="14">
        <v>8654</v>
      </c>
      <c r="N138" s="14">
        <v>114</v>
      </c>
      <c r="O138" s="14"/>
      <c r="P138" s="14">
        <v>28</v>
      </c>
      <c r="Q138" s="14">
        <f t="shared" si="90"/>
        <v>313.14285714285717</v>
      </c>
      <c r="R138" s="14"/>
      <c r="S138" s="14">
        <v>900</v>
      </c>
      <c r="T138" s="14">
        <v>7447</v>
      </c>
      <c r="U138" s="298"/>
      <c r="V138" s="298"/>
      <c r="W138" s="298"/>
      <c r="X138" s="55">
        <v>3.4</v>
      </c>
      <c r="Y138" s="95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152"/>
      <c r="AL138" s="39">
        <v>13722</v>
      </c>
      <c r="AM138" s="14">
        <v>11705</v>
      </c>
      <c r="AN138" s="14">
        <v>103741</v>
      </c>
      <c r="AO138" s="14"/>
      <c r="AP138" s="14"/>
      <c r="AQ138" s="14"/>
      <c r="AR138" s="14"/>
      <c r="AS138" s="14"/>
      <c r="AT138" s="14"/>
      <c r="AU138" s="18">
        <f t="shared" si="89"/>
        <v>2017</v>
      </c>
      <c r="AV138" s="36">
        <v>0.4</v>
      </c>
      <c r="AW138" s="14">
        <v>1467</v>
      </c>
      <c r="AX138" s="304">
        <v>51</v>
      </c>
      <c r="AY138" s="304">
        <v>39</v>
      </c>
      <c r="AZ138" s="304">
        <v>10</v>
      </c>
      <c r="BA138" s="304">
        <v>22</v>
      </c>
      <c r="BB138" s="304">
        <v>2</v>
      </c>
      <c r="BC138" s="304">
        <v>16</v>
      </c>
      <c r="BD138" s="304">
        <v>49</v>
      </c>
      <c r="BE138" s="304">
        <v>5</v>
      </c>
      <c r="BF138" s="304">
        <v>5</v>
      </c>
      <c r="BG138" s="89"/>
      <c r="BH138" s="14">
        <v>68501</v>
      </c>
      <c r="BI138" s="14"/>
      <c r="BJ138" s="14"/>
      <c r="BK138" s="14">
        <v>174</v>
      </c>
      <c r="BL138" s="14"/>
      <c r="BM138" s="14"/>
      <c r="BN138" s="274">
        <f aca="true" t="shared" si="91" ref="BN138:BN146">+BO138+BP138</f>
        <v>1284</v>
      </c>
      <c r="BO138" s="14"/>
      <c r="BP138" s="18">
        <v>1284</v>
      </c>
      <c r="BQ138" s="28">
        <v>2.47</v>
      </c>
      <c r="BR138" s="29"/>
      <c r="BS138" s="29"/>
      <c r="BT138" s="29">
        <v>46.6</v>
      </c>
      <c r="BU138" s="29"/>
      <c r="BV138" s="29"/>
      <c r="BW138" s="29">
        <v>1.01</v>
      </c>
      <c r="BX138" s="29"/>
      <c r="BY138" s="29"/>
      <c r="BZ138" s="29">
        <v>3.63</v>
      </c>
      <c r="CA138" s="29"/>
      <c r="CB138" s="30"/>
      <c r="CC138" s="28">
        <v>7.6</v>
      </c>
      <c r="CD138" s="29">
        <v>13.8</v>
      </c>
      <c r="CE138" s="29">
        <v>44.7</v>
      </c>
      <c r="CF138" s="29">
        <v>50.8</v>
      </c>
      <c r="CG138" s="29">
        <v>1.33</v>
      </c>
      <c r="CH138" s="29">
        <v>0.645</v>
      </c>
      <c r="CI138" s="29">
        <v>0.102</v>
      </c>
      <c r="CJ138" s="79" t="s">
        <v>38</v>
      </c>
    </row>
    <row r="139" spans="1:88" ht="16.5" customHeight="1">
      <c r="A139" s="592"/>
      <c r="B139" s="3" t="s">
        <v>22</v>
      </c>
      <c r="C139" s="39">
        <v>8704</v>
      </c>
      <c r="D139" s="14">
        <v>30</v>
      </c>
      <c r="E139" s="14">
        <f t="shared" si="86"/>
        <v>1339</v>
      </c>
      <c r="F139" s="14">
        <v>1110</v>
      </c>
      <c r="G139" s="14">
        <v>229</v>
      </c>
      <c r="H139" s="14">
        <v>311</v>
      </c>
      <c r="I139" s="14">
        <v>311</v>
      </c>
      <c r="J139" s="14">
        <v>0</v>
      </c>
      <c r="K139" s="18">
        <v>0</v>
      </c>
      <c r="L139" s="39">
        <f t="shared" si="88"/>
        <v>9290</v>
      </c>
      <c r="M139" s="14">
        <v>8979</v>
      </c>
      <c r="N139" s="14">
        <v>311</v>
      </c>
      <c r="O139" s="14"/>
      <c r="P139" s="14">
        <v>30</v>
      </c>
      <c r="Q139" s="14">
        <f t="shared" si="90"/>
        <v>309.6666666666667</v>
      </c>
      <c r="R139" s="14"/>
      <c r="S139" s="14">
        <v>897</v>
      </c>
      <c r="T139" s="14"/>
      <c r="U139" s="298"/>
      <c r="V139" s="298"/>
      <c r="W139" s="298"/>
      <c r="X139" s="55">
        <v>3.4</v>
      </c>
      <c r="Y139" s="95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152"/>
      <c r="AL139" s="39">
        <v>14134</v>
      </c>
      <c r="AM139" s="14">
        <v>12537</v>
      </c>
      <c r="AN139" s="14">
        <v>111115</v>
      </c>
      <c r="AO139" s="14"/>
      <c r="AP139" s="14"/>
      <c r="AQ139" s="14"/>
      <c r="AR139" s="14"/>
      <c r="AS139" s="14"/>
      <c r="AT139" s="14"/>
      <c r="AU139" s="18">
        <f t="shared" si="89"/>
        <v>1597</v>
      </c>
      <c r="AV139" s="36">
        <v>0.4</v>
      </c>
      <c r="AW139" s="14">
        <v>1443</v>
      </c>
      <c r="AX139" s="304">
        <v>53</v>
      </c>
      <c r="AY139" s="304">
        <v>37</v>
      </c>
      <c r="AZ139" s="304">
        <v>10</v>
      </c>
      <c r="BA139" s="304">
        <v>20</v>
      </c>
      <c r="BB139" s="304">
        <v>2</v>
      </c>
      <c r="BC139" s="304">
        <v>16</v>
      </c>
      <c r="BD139" s="304">
        <v>51</v>
      </c>
      <c r="BE139" s="304">
        <v>5</v>
      </c>
      <c r="BF139" s="304">
        <v>6</v>
      </c>
      <c r="BG139" s="89"/>
      <c r="BH139" s="14">
        <v>69994</v>
      </c>
      <c r="BI139" s="14"/>
      <c r="BJ139" s="14"/>
      <c r="BK139" s="14">
        <v>171</v>
      </c>
      <c r="BL139" s="14"/>
      <c r="BM139" s="14"/>
      <c r="BN139" s="274">
        <f t="shared" si="91"/>
        <v>1533</v>
      </c>
      <c r="BO139" s="14"/>
      <c r="BP139" s="18">
        <v>1533</v>
      </c>
      <c r="BQ139" s="28">
        <v>2.24</v>
      </c>
      <c r="BR139" s="29"/>
      <c r="BS139" s="29"/>
      <c r="BT139" s="29">
        <v>48.85</v>
      </c>
      <c r="BU139" s="29"/>
      <c r="BV139" s="29"/>
      <c r="BW139" s="29">
        <v>1.31</v>
      </c>
      <c r="BX139" s="29"/>
      <c r="BY139" s="29"/>
      <c r="BZ139" s="29">
        <v>3.39</v>
      </c>
      <c r="CA139" s="29"/>
      <c r="CB139" s="30"/>
      <c r="CC139" s="28">
        <v>7.3</v>
      </c>
      <c r="CD139" s="29">
        <v>13.5</v>
      </c>
      <c r="CE139" s="29">
        <v>48.4</v>
      </c>
      <c r="CF139" s="29">
        <v>51.8</v>
      </c>
      <c r="CG139" s="29">
        <v>0.016</v>
      </c>
      <c r="CH139" s="29">
        <v>0.256</v>
      </c>
      <c r="CI139" s="29">
        <v>0.056</v>
      </c>
      <c r="CJ139" s="79" t="s">
        <v>38</v>
      </c>
    </row>
    <row r="140" spans="1:88" ht="16.5" customHeight="1">
      <c r="A140" s="592"/>
      <c r="B140" s="3" t="s">
        <v>23</v>
      </c>
      <c r="C140" s="39">
        <v>6349</v>
      </c>
      <c r="D140" s="14">
        <v>19</v>
      </c>
      <c r="E140" s="14">
        <f t="shared" si="86"/>
        <v>1201</v>
      </c>
      <c r="F140" s="14">
        <v>987</v>
      </c>
      <c r="G140" s="14">
        <v>214</v>
      </c>
      <c r="H140" s="14">
        <v>532</v>
      </c>
      <c r="I140" s="14">
        <v>532</v>
      </c>
      <c r="J140" s="14">
        <v>0</v>
      </c>
      <c r="K140" s="18">
        <v>0</v>
      </c>
      <c r="L140" s="39">
        <f t="shared" si="88"/>
        <v>8207</v>
      </c>
      <c r="M140" s="14">
        <v>7675</v>
      </c>
      <c r="N140" s="14">
        <v>532</v>
      </c>
      <c r="O140" s="14"/>
      <c r="P140" s="14">
        <v>26</v>
      </c>
      <c r="Q140" s="14">
        <f t="shared" si="90"/>
        <v>315.65384615384613</v>
      </c>
      <c r="R140" s="14"/>
      <c r="S140" s="14">
        <v>905</v>
      </c>
      <c r="T140" s="14">
        <v>4959</v>
      </c>
      <c r="U140" s="298"/>
      <c r="V140" s="298"/>
      <c r="W140" s="298"/>
      <c r="X140" s="55">
        <v>3.4</v>
      </c>
      <c r="Y140" s="95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152"/>
      <c r="AL140" s="39">
        <v>12467</v>
      </c>
      <c r="AM140" s="14">
        <v>11153</v>
      </c>
      <c r="AN140" s="14">
        <v>98849</v>
      </c>
      <c r="AO140" s="14"/>
      <c r="AP140" s="14"/>
      <c r="AQ140" s="14"/>
      <c r="AR140" s="14"/>
      <c r="AS140" s="14"/>
      <c r="AT140" s="14"/>
      <c r="AU140" s="18">
        <f t="shared" si="89"/>
        <v>1314</v>
      </c>
      <c r="AV140" s="36">
        <v>0.4</v>
      </c>
      <c r="AW140" s="14">
        <v>1498</v>
      </c>
      <c r="AX140" s="304">
        <v>54</v>
      </c>
      <c r="AY140" s="304">
        <v>36</v>
      </c>
      <c r="AZ140" s="304">
        <v>10</v>
      </c>
      <c r="BA140" s="304">
        <v>21</v>
      </c>
      <c r="BB140" s="304">
        <v>3</v>
      </c>
      <c r="BC140" s="304">
        <v>16</v>
      </c>
      <c r="BD140" s="304">
        <v>50</v>
      </c>
      <c r="BE140" s="304">
        <v>5</v>
      </c>
      <c r="BF140" s="304">
        <v>5</v>
      </c>
      <c r="BG140" s="89"/>
      <c r="BH140" s="14">
        <v>70258</v>
      </c>
      <c r="BI140" s="14"/>
      <c r="BJ140" s="14"/>
      <c r="BK140" s="14">
        <v>169</v>
      </c>
      <c r="BL140" s="14"/>
      <c r="BM140" s="14"/>
      <c r="BN140" s="274">
        <f t="shared" si="91"/>
        <v>1243</v>
      </c>
      <c r="BO140" s="14"/>
      <c r="BP140" s="18">
        <v>1243</v>
      </c>
      <c r="BQ140" s="28">
        <v>2.08</v>
      </c>
      <c r="BR140" s="29"/>
      <c r="BS140" s="29"/>
      <c r="BT140" s="29">
        <v>46.09</v>
      </c>
      <c r="BU140" s="29"/>
      <c r="BV140" s="29"/>
      <c r="BW140" s="29">
        <v>1.24</v>
      </c>
      <c r="BX140" s="29"/>
      <c r="BY140" s="29"/>
      <c r="BZ140" s="29">
        <v>3.24</v>
      </c>
      <c r="CA140" s="29"/>
      <c r="CB140" s="30"/>
      <c r="CC140" s="28">
        <v>7.4</v>
      </c>
      <c r="CD140" s="29">
        <v>13.5</v>
      </c>
      <c r="CE140" s="29">
        <v>49.4</v>
      </c>
      <c r="CF140" s="29">
        <v>57.4</v>
      </c>
      <c r="CG140" s="29">
        <v>0.438</v>
      </c>
      <c r="CH140" s="29">
        <v>0.147</v>
      </c>
      <c r="CI140" s="29">
        <v>0.053</v>
      </c>
      <c r="CJ140" s="79" t="s">
        <v>38</v>
      </c>
    </row>
    <row r="141" spans="1:88" ht="16.5" customHeight="1">
      <c r="A141" s="592"/>
      <c r="B141" s="3" t="s">
        <v>24</v>
      </c>
      <c r="C141" s="39">
        <v>2899</v>
      </c>
      <c r="D141" s="14">
        <v>10</v>
      </c>
      <c r="E141" s="14">
        <f t="shared" si="86"/>
        <v>293</v>
      </c>
      <c r="F141" s="14">
        <v>241</v>
      </c>
      <c r="G141" s="14">
        <v>52</v>
      </c>
      <c r="H141" s="14">
        <v>64</v>
      </c>
      <c r="I141" s="14">
        <v>64</v>
      </c>
      <c r="J141" s="14">
        <v>0</v>
      </c>
      <c r="K141" s="18">
        <v>0</v>
      </c>
      <c r="L141" s="39">
        <f t="shared" si="88"/>
        <v>2258</v>
      </c>
      <c r="M141" s="14">
        <v>2194</v>
      </c>
      <c r="N141" s="14">
        <v>64</v>
      </c>
      <c r="O141" s="14"/>
      <c r="P141" s="14">
        <v>7</v>
      </c>
      <c r="Q141" s="14">
        <f t="shared" si="90"/>
        <v>322.57142857142856</v>
      </c>
      <c r="R141" s="14"/>
      <c r="S141" s="14">
        <v>904</v>
      </c>
      <c r="T141" s="14">
        <v>8818</v>
      </c>
      <c r="U141" s="298"/>
      <c r="V141" s="298"/>
      <c r="W141" s="298"/>
      <c r="X141" s="55">
        <v>3.3</v>
      </c>
      <c r="Y141" s="95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152"/>
      <c r="AL141" s="39">
        <v>3538</v>
      </c>
      <c r="AM141" s="14">
        <v>3072</v>
      </c>
      <c r="AN141" s="14">
        <v>27227</v>
      </c>
      <c r="AO141" s="14"/>
      <c r="AP141" s="14"/>
      <c r="AQ141" s="14"/>
      <c r="AR141" s="14"/>
      <c r="AS141" s="14"/>
      <c r="AT141" s="14"/>
      <c r="AU141" s="18">
        <f t="shared" si="89"/>
        <v>466</v>
      </c>
      <c r="AV141" s="36">
        <v>0.4</v>
      </c>
      <c r="AW141" s="14">
        <v>1542</v>
      </c>
      <c r="AX141" s="304">
        <v>56</v>
      </c>
      <c r="AY141" s="304">
        <v>36</v>
      </c>
      <c r="AZ141" s="304">
        <v>9</v>
      </c>
      <c r="BA141" s="304">
        <v>21</v>
      </c>
      <c r="BB141" s="304">
        <v>2</v>
      </c>
      <c r="BC141" s="304">
        <v>17</v>
      </c>
      <c r="BD141" s="304">
        <v>50</v>
      </c>
      <c r="BE141" s="304">
        <v>5</v>
      </c>
      <c r="BF141" s="304">
        <v>5</v>
      </c>
      <c r="BG141" s="89"/>
      <c r="BH141" s="14">
        <v>63579</v>
      </c>
      <c r="BI141" s="14"/>
      <c r="BJ141" s="14"/>
      <c r="BK141" s="14">
        <v>167</v>
      </c>
      <c r="BL141" s="14"/>
      <c r="BM141" s="14"/>
      <c r="BN141" s="274">
        <f t="shared" si="91"/>
        <v>1105</v>
      </c>
      <c r="BO141" s="14"/>
      <c r="BP141" s="18">
        <v>1105</v>
      </c>
      <c r="BQ141" s="28">
        <v>2.28</v>
      </c>
      <c r="BR141" s="29"/>
      <c r="BS141" s="29"/>
      <c r="BT141" s="29">
        <v>48.28</v>
      </c>
      <c r="BU141" s="29"/>
      <c r="BV141" s="29"/>
      <c r="BW141" s="29">
        <v>1.17</v>
      </c>
      <c r="BX141" s="29"/>
      <c r="BY141" s="29"/>
      <c r="BZ141" s="29">
        <v>3.13</v>
      </c>
      <c r="CA141" s="29"/>
      <c r="CB141" s="30"/>
      <c r="CC141" s="28">
        <v>7.6</v>
      </c>
      <c r="CD141" s="29">
        <v>13.4</v>
      </c>
      <c r="CE141" s="29">
        <v>51.8</v>
      </c>
      <c r="CF141" s="29">
        <v>53.4</v>
      </c>
      <c r="CG141" s="29">
        <v>0.002</v>
      </c>
      <c r="CH141" s="29">
        <v>0.092</v>
      </c>
      <c r="CI141" s="29">
        <v>0.039</v>
      </c>
      <c r="CJ141" s="79" t="s">
        <v>38</v>
      </c>
    </row>
    <row r="142" spans="1:88" ht="16.5" customHeight="1">
      <c r="A142" s="592"/>
      <c r="B142" s="3" t="s">
        <v>25</v>
      </c>
      <c r="C142" s="39">
        <v>8930</v>
      </c>
      <c r="D142" s="14">
        <v>31</v>
      </c>
      <c r="E142" s="14">
        <f t="shared" si="86"/>
        <v>1329</v>
      </c>
      <c r="F142" s="14">
        <v>1147</v>
      </c>
      <c r="G142" s="14">
        <v>182</v>
      </c>
      <c r="H142" s="14">
        <v>592</v>
      </c>
      <c r="I142" s="14">
        <v>542</v>
      </c>
      <c r="J142" s="14">
        <v>0</v>
      </c>
      <c r="K142" s="18">
        <v>0</v>
      </c>
      <c r="L142" s="39">
        <f t="shared" si="88"/>
        <v>9732</v>
      </c>
      <c r="M142" s="14">
        <v>9140</v>
      </c>
      <c r="N142" s="14">
        <v>592</v>
      </c>
      <c r="O142" s="14"/>
      <c r="P142" s="14">
        <v>31</v>
      </c>
      <c r="Q142" s="14">
        <f t="shared" si="90"/>
        <v>313.93548387096774</v>
      </c>
      <c r="R142" s="14"/>
      <c r="S142" s="14">
        <v>896</v>
      </c>
      <c r="T142" s="14"/>
      <c r="U142" s="298"/>
      <c r="V142" s="298"/>
      <c r="W142" s="298"/>
      <c r="X142" s="55">
        <v>3.4</v>
      </c>
      <c r="Y142" s="95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152"/>
      <c r="AL142" s="39">
        <v>14642</v>
      </c>
      <c r="AM142" s="14">
        <v>12210</v>
      </c>
      <c r="AN142" s="14">
        <v>103114</v>
      </c>
      <c r="AO142" s="14"/>
      <c r="AP142" s="14"/>
      <c r="AQ142" s="14"/>
      <c r="AR142" s="14"/>
      <c r="AS142" s="14"/>
      <c r="AT142" s="14"/>
      <c r="AU142" s="18">
        <f t="shared" si="89"/>
        <v>2432</v>
      </c>
      <c r="AV142" s="36">
        <v>0.4</v>
      </c>
      <c r="AW142" s="14">
        <v>1559</v>
      </c>
      <c r="AX142" s="304">
        <v>56</v>
      </c>
      <c r="AY142" s="304">
        <v>35</v>
      </c>
      <c r="AZ142" s="304">
        <v>9</v>
      </c>
      <c r="BA142" s="304">
        <v>21</v>
      </c>
      <c r="BB142" s="304">
        <v>2</v>
      </c>
      <c r="BC142" s="304">
        <v>17</v>
      </c>
      <c r="BD142" s="304">
        <v>50</v>
      </c>
      <c r="BE142" s="304">
        <v>5</v>
      </c>
      <c r="BF142" s="304">
        <v>5</v>
      </c>
      <c r="BG142" s="89"/>
      <c r="BH142" s="14">
        <v>59998</v>
      </c>
      <c r="BI142" s="14"/>
      <c r="BJ142" s="14"/>
      <c r="BK142" s="14">
        <v>171</v>
      </c>
      <c r="BL142" s="14"/>
      <c r="BM142" s="14"/>
      <c r="BN142" s="274">
        <f t="shared" si="91"/>
        <v>1239</v>
      </c>
      <c r="BO142" s="14"/>
      <c r="BP142" s="18">
        <v>1239</v>
      </c>
      <c r="BQ142" s="28">
        <v>2.25</v>
      </c>
      <c r="BR142" s="29"/>
      <c r="BS142" s="29"/>
      <c r="BT142" s="29">
        <v>42.6</v>
      </c>
      <c r="BU142" s="29"/>
      <c r="BV142" s="29"/>
      <c r="BW142" s="29">
        <v>1.29</v>
      </c>
      <c r="BX142" s="29"/>
      <c r="BY142" s="29"/>
      <c r="BZ142" s="29">
        <v>3.13</v>
      </c>
      <c r="CA142" s="29"/>
      <c r="CB142" s="30"/>
      <c r="CC142" s="28">
        <v>7.5</v>
      </c>
      <c r="CD142" s="29">
        <v>21.5</v>
      </c>
      <c r="CE142" s="29">
        <v>54.3</v>
      </c>
      <c r="CF142" s="29">
        <v>56</v>
      </c>
      <c r="CG142" s="29">
        <v>0.033</v>
      </c>
      <c r="CH142" s="29">
        <v>0.32</v>
      </c>
      <c r="CI142" s="29">
        <v>0.027</v>
      </c>
      <c r="CJ142" s="79" t="s">
        <v>38</v>
      </c>
    </row>
    <row r="143" spans="1:88" ht="16.5" customHeight="1">
      <c r="A143" s="592"/>
      <c r="B143" s="3" t="s">
        <v>26</v>
      </c>
      <c r="C143" s="39">
        <v>8985</v>
      </c>
      <c r="D143" s="14">
        <v>31</v>
      </c>
      <c r="E143" s="14">
        <f t="shared" si="86"/>
        <v>1275</v>
      </c>
      <c r="F143" s="14">
        <v>1066</v>
      </c>
      <c r="G143" s="14">
        <v>209</v>
      </c>
      <c r="H143" s="14">
        <v>449</v>
      </c>
      <c r="I143" s="14">
        <v>355</v>
      </c>
      <c r="J143" s="14">
        <v>0</v>
      </c>
      <c r="K143" s="18">
        <v>0</v>
      </c>
      <c r="L143" s="39">
        <f t="shared" si="88"/>
        <v>8964</v>
      </c>
      <c r="M143" s="14">
        <v>8515</v>
      </c>
      <c r="N143" s="14">
        <v>449</v>
      </c>
      <c r="O143" s="14"/>
      <c r="P143" s="14">
        <v>30</v>
      </c>
      <c r="Q143" s="14">
        <f t="shared" si="90"/>
        <v>298.8</v>
      </c>
      <c r="R143" s="14"/>
      <c r="S143" s="14">
        <v>899</v>
      </c>
      <c r="T143" s="14"/>
      <c r="U143" s="298"/>
      <c r="V143" s="298"/>
      <c r="W143" s="298"/>
      <c r="X143" s="55">
        <v>3.6</v>
      </c>
      <c r="Y143" s="95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152"/>
      <c r="AL143" s="39">
        <v>13968</v>
      </c>
      <c r="AM143" s="14">
        <v>11616</v>
      </c>
      <c r="AN143" s="14">
        <v>98097</v>
      </c>
      <c r="AO143" s="14"/>
      <c r="AP143" s="14"/>
      <c r="AQ143" s="14"/>
      <c r="AR143" s="14"/>
      <c r="AS143" s="14"/>
      <c r="AT143" s="14"/>
      <c r="AU143" s="18">
        <f t="shared" si="89"/>
        <v>2352</v>
      </c>
      <c r="AV143" s="36">
        <v>0.4</v>
      </c>
      <c r="AW143" s="14">
        <v>1570</v>
      </c>
      <c r="AX143" s="304">
        <v>54</v>
      </c>
      <c r="AY143" s="304">
        <v>36</v>
      </c>
      <c r="AZ143" s="304">
        <v>9</v>
      </c>
      <c r="BA143" s="304">
        <v>19</v>
      </c>
      <c r="BB143" s="304">
        <v>2</v>
      </c>
      <c r="BC143" s="304">
        <v>18</v>
      </c>
      <c r="BD143" s="304">
        <v>51</v>
      </c>
      <c r="BE143" s="304">
        <v>5</v>
      </c>
      <c r="BF143" s="304">
        <v>5</v>
      </c>
      <c r="BG143" s="89"/>
      <c r="BH143" s="14">
        <v>59943</v>
      </c>
      <c r="BI143" s="14"/>
      <c r="BJ143" s="14"/>
      <c r="BK143" s="14">
        <v>169</v>
      </c>
      <c r="BL143" s="14"/>
      <c r="BM143" s="14"/>
      <c r="BN143" s="274">
        <f t="shared" si="91"/>
        <v>830</v>
      </c>
      <c r="BO143" s="14"/>
      <c r="BP143" s="18">
        <v>830</v>
      </c>
      <c r="BQ143" s="28">
        <v>2.36</v>
      </c>
      <c r="BR143" s="29"/>
      <c r="BS143" s="29"/>
      <c r="BT143" s="29">
        <v>43.85</v>
      </c>
      <c r="BU143" s="29"/>
      <c r="BV143" s="29"/>
      <c r="BW143" s="29">
        <v>1.45</v>
      </c>
      <c r="BX143" s="29"/>
      <c r="BY143" s="29"/>
      <c r="BZ143" s="29">
        <v>3.21</v>
      </c>
      <c r="CA143" s="29"/>
      <c r="CB143" s="30"/>
      <c r="CC143" s="28">
        <v>7.4</v>
      </c>
      <c r="CD143" s="29">
        <v>21.8</v>
      </c>
      <c r="CE143" s="29">
        <v>58.8</v>
      </c>
      <c r="CF143" s="29">
        <v>65.8</v>
      </c>
      <c r="CG143" s="29">
        <v>0.149</v>
      </c>
      <c r="CH143" s="29">
        <v>0.79</v>
      </c>
      <c r="CI143" s="29">
        <v>0.078</v>
      </c>
      <c r="CJ143" s="30">
        <v>0.382</v>
      </c>
    </row>
    <row r="144" spans="1:88" ht="16.5" customHeight="1">
      <c r="A144" s="592"/>
      <c r="B144" s="3" t="s">
        <v>27</v>
      </c>
      <c r="C144" s="39">
        <v>8613</v>
      </c>
      <c r="D144" s="14">
        <v>30</v>
      </c>
      <c r="E144" s="14">
        <f t="shared" si="86"/>
        <v>993</v>
      </c>
      <c r="F144" s="14">
        <v>819</v>
      </c>
      <c r="G144" s="14">
        <v>174</v>
      </c>
      <c r="H144" s="14">
        <v>234</v>
      </c>
      <c r="I144" s="14">
        <v>50</v>
      </c>
      <c r="J144" s="14">
        <v>329</v>
      </c>
      <c r="K144" s="18">
        <v>0</v>
      </c>
      <c r="L144" s="39">
        <f t="shared" si="88"/>
        <v>7300</v>
      </c>
      <c r="M144" s="14">
        <v>7066</v>
      </c>
      <c r="N144" s="14">
        <v>234</v>
      </c>
      <c r="O144" s="14"/>
      <c r="P144" s="14">
        <v>24</v>
      </c>
      <c r="Q144" s="14">
        <f t="shared" si="90"/>
        <v>304.1666666666667</v>
      </c>
      <c r="R144" s="14"/>
      <c r="S144" s="14">
        <v>899</v>
      </c>
      <c r="T144" s="14">
        <v>6860</v>
      </c>
      <c r="U144" s="298"/>
      <c r="V144" s="298"/>
      <c r="W144" s="298"/>
      <c r="X144" s="55">
        <v>3.7</v>
      </c>
      <c r="Y144" s="95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152"/>
      <c r="AL144" s="39">
        <v>11652</v>
      </c>
      <c r="AM144" s="14">
        <v>9840</v>
      </c>
      <c r="AN144" s="14">
        <v>83099</v>
      </c>
      <c r="AO144" s="14"/>
      <c r="AP144" s="14"/>
      <c r="AQ144" s="14"/>
      <c r="AR144" s="14"/>
      <c r="AS144" s="14"/>
      <c r="AT144" s="14"/>
      <c r="AU144" s="18">
        <f t="shared" si="89"/>
        <v>1812</v>
      </c>
      <c r="AV144" s="36">
        <v>0.4</v>
      </c>
      <c r="AW144" s="14">
        <v>1463</v>
      </c>
      <c r="AX144" s="304">
        <v>53</v>
      </c>
      <c r="AY144" s="304">
        <v>38</v>
      </c>
      <c r="AZ144" s="304">
        <v>9</v>
      </c>
      <c r="BA144" s="304">
        <v>20</v>
      </c>
      <c r="BB144" s="304">
        <v>3</v>
      </c>
      <c r="BC144" s="304">
        <v>18</v>
      </c>
      <c r="BD144" s="304">
        <v>54</v>
      </c>
      <c r="BE144" s="304">
        <v>3</v>
      </c>
      <c r="BF144" s="304">
        <v>3</v>
      </c>
      <c r="BG144" s="89"/>
      <c r="BH144" s="14">
        <v>57475</v>
      </c>
      <c r="BI144" s="14"/>
      <c r="BJ144" s="14"/>
      <c r="BK144" s="14">
        <v>169</v>
      </c>
      <c r="BL144" s="14"/>
      <c r="BM144" s="14"/>
      <c r="BN144" s="274">
        <f t="shared" si="91"/>
        <v>423</v>
      </c>
      <c r="BO144" s="14"/>
      <c r="BP144" s="18">
        <v>423</v>
      </c>
      <c r="BQ144" s="28">
        <v>2.59</v>
      </c>
      <c r="BR144" s="29"/>
      <c r="BS144" s="29"/>
      <c r="BT144" s="29">
        <v>41.43</v>
      </c>
      <c r="BU144" s="29"/>
      <c r="BV144" s="29"/>
      <c r="BW144" s="29">
        <v>1.4</v>
      </c>
      <c r="BX144" s="29"/>
      <c r="BY144" s="29"/>
      <c r="BZ144" s="29">
        <v>2.88</v>
      </c>
      <c r="CA144" s="29"/>
      <c r="CB144" s="30"/>
      <c r="CC144" s="28">
        <v>7.6</v>
      </c>
      <c r="CD144" s="29">
        <v>44</v>
      </c>
      <c r="CE144" s="29">
        <v>67.3</v>
      </c>
      <c r="CF144" s="29">
        <v>73.2</v>
      </c>
      <c r="CG144" s="29">
        <v>0.002</v>
      </c>
      <c r="CH144" s="29">
        <v>0.487</v>
      </c>
      <c r="CI144" s="29">
        <v>0.086</v>
      </c>
      <c r="CJ144" s="79" t="s">
        <v>38</v>
      </c>
    </row>
    <row r="145" spans="1:88" ht="16.5" customHeight="1">
      <c r="A145" s="592"/>
      <c r="B145" s="3" t="s">
        <v>28</v>
      </c>
      <c r="C145" s="39">
        <v>3661</v>
      </c>
      <c r="D145" s="14">
        <v>14</v>
      </c>
      <c r="E145" s="14">
        <f t="shared" si="86"/>
        <v>1048</v>
      </c>
      <c r="F145" s="14">
        <v>932</v>
      </c>
      <c r="G145" s="14">
        <v>116</v>
      </c>
      <c r="H145" s="14">
        <v>179</v>
      </c>
      <c r="I145" s="14">
        <v>179</v>
      </c>
      <c r="J145" s="14">
        <v>0</v>
      </c>
      <c r="K145" s="18">
        <v>0</v>
      </c>
      <c r="L145" s="39">
        <f t="shared" si="88"/>
        <v>5485</v>
      </c>
      <c r="M145" s="14">
        <v>5306</v>
      </c>
      <c r="N145" s="14">
        <v>179</v>
      </c>
      <c r="O145" s="14"/>
      <c r="P145" s="14">
        <v>19</v>
      </c>
      <c r="Q145" s="14">
        <f t="shared" si="90"/>
        <v>288.6842105263158</v>
      </c>
      <c r="R145" s="14"/>
      <c r="S145" s="14">
        <v>896</v>
      </c>
      <c r="T145" s="14">
        <v>15584</v>
      </c>
      <c r="U145" s="298"/>
      <c r="V145" s="298"/>
      <c r="W145" s="298"/>
      <c r="X145" s="55">
        <v>3.6</v>
      </c>
      <c r="Y145" s="95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152"/>
      <c r="AL145" s="39">
        <v>8734</v>
      </c>
      <c r="AM145" s="14">
        <v>7552</v>
      </c>
      <c r="AN145" s="14">
        <v>63777</v>
      </c>
      <c r="AO145" s="14"/>
      <c r="AP145" s="14"/>
      <c r="AQ145" s="14"/>
      <c r="AR145" s="14"/>
      <c r="AS145" s="14"/>
      <c r="AT145" s="14"/>
      <c r="AU145" s="18">
        <f t="shared" si="89"/>
        <v>1182</v>
      </c>
      <c r="AV145" s="36">
        <v>0.4</v>
      </c>
      <c r="AW145" s="14">
        <v>1538</v>
      </c>
      <c r="AX145" s="304">
        <v>50</v>
      </c>
      <c r="AY145" s="304">
        <v>40</v>
      </c>
      <c r="AZ145" s="304">
        <v>10</v>
      </c>
      <c r="BA145" s="304">
        <v>24</v>
      </c>
      <c r="BB145" s="304">
        <v>1</v>
      </c>
      <c r="BC145" s="304">
        <v>16</v>
      </c>
      <c r="BD145" s="304">
        <v>55</v>
      </c>
      <c r="BE145" s="304">
        <v>1</v>
      </c>
      <c r="BF145" s="304">
        <v>4</v>
      </c>
      <c r="BG145" s="89"/>
      <c r="BH145" s="14">
        <v>56685</v>
      </c>
      <c r="BI145" s="14"/>
      <c r="BJ145" s="14"/>
      <c r="BK145" s="14">
        <v>170</v>
      </c>
      <c r="BL145" s="14"/>
      <c r="BM145" s="14"/>
      <c r="BN145" s="274">
        <f t="shared" si="91"/>
        <v>370</v>
      </c>
      <c r="BO145" s="14"/>
      <c r="BP145" s="18">
        <v>370</v>
      </c>
      <c r="BQ145" s="28">
        <v>2.21</v>
      </c>
      <c r="BR145" s="29"/>
      <c r="BS145" s="29"/>
      <c r="BT145" s="29">
        <v>39.24</v>
      </c>
      <c r="BU145" s="29"/>
      <c r="BV145" s="29"/>
      <c r="BW145" s="29">
        <v>1.4</v>
      </c>
      <c r="BX145" s="29"/>
      <c r="BY145" s="29"/>
      <c r="BZ145" s="29">
        <v>2.73</v>
      </c>
      <c r="CA145" s="29"/>
      <c r="CB145" s="30"/>
      <c r="CC145" s="28">
        <v>7</v>
      </c>
      <c r="CD145" s="29">
        <v>47.5</v>
      </c>
      <c r="CE145" s="29">
        <v>52.2</v>
      </c>
      <c r="CF145" s="29">
        <v>59.4</v>
      </c>
      <c r="CG145" s="29">
        <v>0.047</v>
      </c>
      <c r="CH145" s="29">
        <v>0.312</v>
      </c>
      <c r="CI145" s="29">
        <v>0.059</v>
      </c>
      <c r="CJ145" s="79" t="s">
        <v>38</v>
      </c>
    </row>
    <row r="146" spans="1:88" ht="16.5" customHeight="1">
      <c r="A146" s="592"/>
      <c r="B146" s="3" t="s">
        <v>29</v>
      </c>
      <c r="C146" s="39">
        <v>8786</v>
      </c>
      <c r="D146" s="14">
        <v>30</v>
      </c>
      <c r="E146" s="14">
        <f t="shared" si="86"/>
        <v>1227</v>
      </c>
      <c r="F146" s="14">
        <v>1020</v>
      </c>
      <c r="G146" s="14">
        <v>207</v>
      </c>
      <c r="H146" s="14">
        <v>199</v>
      </c>
      <c r="I146" s="14">
        <v>199</v>
      </c>
      <c r="J146" s="14">
        <v>0</v>
      </c>
      <c r="K146" s="18">
        <v>0</v>
      </c>
      <c r="L146" s="39">
        <f t="shared" si="88"/>
        <v>8456</v>
      </c>
      <c r="M146" s="14">
        <v>8257</v>
      </c>
      <c r="N146" s="14">
        <v>199</v>
      </c>
      <c r="O146" s="14"/>
      <c r="P146" s="14">
        <v>29</v>
      </c>
      <c r="Q146" s="14">
        <f t="shared" si="90"/>
        <v>291.58620689655174</v>
      </c>
      <c r="R146" s="14"/>
      <c r="S146" s="14">
        <v>899</v>
      </c>
      <c r="T146" s="14">
        <v>2245</v>
      </c>
      <c r="U146" s="298"/>
      <c r="V146" s="298"/>
      <c r="W146" s="298"/>
      <c r="X146" s="55">
        <v>3.4</v>
      </c>
      <c r="Y146" s="95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152"/>
      <c r="AL146" s="39">
        <v>13726</v>
      </c>
      <c r="AM146" s="14">
        <v>11165</v>
      </c>
      <c r="AN146" s="14">
        <v>94288</v>
      </c>
      <c r="AO146" s="14"/>
      <c r="AP146" s="14"/>
      <c r="AQ146" s="14"/>
      <c r="AR146" s="14"/>
      <c r="AS146" s="14"/>
      <c r="AT146" s="14"/>
      <c r="AU146" s="18">
        <f t="shared" si="89"/>
        <v>2561</v>
      </c>
      <c r="AV146" s="36">
        <v>0.3</v>
      </c>
      <c r="AW146" s="14">
        <v>1567</v>
      </c>
      <c r="AX146" s="304">
        <v>52</v>
      </c>
      <c r="AY146" s="304">
        <v>39</v>
      </c>
      <c r="AZ146" s="304">
        <v>10</v>
      </c>
      <c r="BA146" s="304">
        <v>23</v>
      </c>
      <c r="BB146" s="304">
        <v>1</v>
      </c>
      <c r="BC146" s="304">
        <v>18</v>
      </c>
      <c r="BD146" s="304">
        <v>54</v>
      </c>
      <c r="BE146" s="304">
        <v>1</v>
      </c>
      <c r="BF146" s="304">
        <v>3</v>
      </c>
      <c r="BG146" s="89"/>
      <c r="BH146" s="14">
        <v>58731</v>
      </c>
      <c r="BI146" s="14"/>
      <c r="BJ146" s="14"/>
      <c r="BK146" s="14">
        <v>169</v>
      </c>
      <c r="BL146" s="14"/>
      <c r="BM146" s="14"/>
      <c r="BN146" s="274">
        <f t="shared" si="91"/>
        <v>405</v>
      </c>
      <c r="BO146" s="14"/>
      <c r="BP146" s="18">
        <v>405</v>
      </c>
      <c r="BQ146" s="28">
        <v>2.13</v>
      </c>
      <c r="BR146" s="29"/>
      <c r="BS146" s="29"/>
      <c r="BT146" s="29">
        <v>38.95</v>
      </c>
      <c r="BU146" s="29"/>
      <c r="BV146" s="29"/>
      <c r="BW146" s="29">
        <v>1.44</v>
      </c>
      <c r="BX146" s="29"/>
      <c r="BY146" s="29"/>
      <c r="BZ146" s="29">
        <v>2.93</v>
      </c>
      <c r="CA146" s="29"/>
      <c r="CB146" s="30"/>
      <c r="CC146" s="28">
        <v>6.6</v>
      </c>
      <c r="CD146" s="29">
        <v>44</v>
      </c>
      <c r="CE146" s="29">
        <v>50.6</v>
      </c>
      <c r="CF146" s="29">
        <v>53.6</v>
      </c>
      <c r="CG146" s="29">
        <v>0.02</v>
      </c>
      <c r="CH146" s="29">
        <v>0.468</v>
      </c>
      <c r="CI146" s="29">
        <v>0.01</v>
      </c>
      <c r="CJ146" s="79" t="s">
        <v>38</v>
      </c>
    </row>
    <row r="147" spans="1:88" ht="16.5" customHeight="1">
      <c r="A147" s="592"/>
      <c r="B147" s="3" t="s">
        <v>30</v>
      </c>
      <c r="C147" s="39">
        <v>7879</v>
      </c>
      <c r="D147" s="14">
        <v>29</v>
      </c>
      <c r="E147" s="14">
        <f t="shared" si="86"/>
        <v>1133</v>
      </c>
      <c r="F147" s="14">
        <v>968</v>
      </c>
      <c r="G147" s="14">
        <v>165</v>
      </c>
      <c r="H147" s="14">
        <v>175</v>
      </c>
      <c r="I147" s="14">
        <v>175</v>
      </c>
      <c r="J147" s="14">
        <v>0</v>
      </c>
      <c r="K147" s="18">
        <v>0</v>
      </c>
      <c r="L147" s="39">
        <f>O147+N147+M147</f>
        <v>7809</v>
      </c>
      <c r="M147" s="14">
        <v>7634</v>
      </c>
      <c r="N147" s="14">
        <v>175</v>
      </c>
      <c r="O147" s="14"/>
      <c r="P147" s="14">
        <v>26</v>
      </c>
      <c r="Q147" s="14">
        <f t="shared" si="90"/>
        <v>300.34615384615387</v>
      </c>
      <c r="R147" s="14"/>
      <c r="S147" s="14">
        <v>896</v>
      </c>
      <c r="T147" s="14">
        <v>8267</v>
      </c>
      <c r="U147" s="298"/>
      <c r="V147" s="298"/>
      <c r="W147" s="298"/>
      <c r="X147" s="55">
        <v>3.6</v>
      </c>
      <c r="Y147" s="95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152"/>
      <c r="AL147" s="39">
        <v>11970</v>
      </c>
      <c r="AM147" s="14">
        <v>9509</v>
      </c>
      <c r="AN147" s="14">
        <v>80304</v>
      </c>
      <c r="AO147" s="14"/>
      <c r="AP147" s="14"/>
      <c r="AQ147" s="14"/>
      <c r="AR147" s="14"/>
      <c r="AS147" s="14"/>
      <c r="AT147" s="14"/>
      <c r="AU147" s="18">
        <f t="shared" si="89"/>
        <v>2461</v>
      </c>
      <c r="AV147" s="36">
        <v>0.3</v>
      </c>
      <c r="AW147" s="14">
        <v>1554</v>
      </c>
      <c r="AX147" s="304">
        <v>51</v>
      </c>
      <c r="AY147" s="304">
        <v>40</v>
      </c>
      <c r="AZ147" s="304">
        <v>10</v>
      </c>
      <c r="BA147" s="304">
        <v>24</v>
      </c>
      <c r="BB147" s="304">
        <v>1</v>
      </c>
      <c r="BC147" s="304">
        <v>18</v>
      </c>
      <c r="BD147" s="304">
        <v>53</v>
      </c>
      <c r="BE147" s="304">
        <v>2</v>
      </c>
      <c r="BF147" s="304">
        <v>3</v>
      </c>
      <c r="BG147" s="89"/>
      <c r="BH147" s="14">
        <v>56560</v>
      </c>
      <c r="BI147" s="14"/>
      <c r="BJ147" s="14"/>
      <c r="BK147" s="14">
        <v>165</v>
      </c>
      <c r="BL147" s="14"/>
      <c r="BM147" s="14"/>
      <c r="BN147" s="435">
        <f>+BO147+BP147</f>
        <v>774</v>
      </c>
      <c r="BO147" s="14"/>
      <c r="BP147" s="18">
        <v>774</v>
      </c>
      <c r="BQ147" s="28">
        <v>2.23</v>
      </c>
      <c r="BR147" s="29"/>
      <c r="BS147" s="29"/>
      <c r="BT147" s="29">
        <v>38.18</v>
      </c>
      <c r="BU147" s="29"/>
      <c r="BV147" s="29"/>
      <c r="BW147" s="29">
        <v>1.53</v>
      </c>
      <c r="BX147" s="29"/>
      <c r="BY147" s="29"/>
      <c r="BZ147" s="29">
        <v>3.09</v>
      </c>
      <c r="CA147" s="29"/>
      <c r="CB147" s="30"/>
      <c r="CC147" s="28">
        <v>6.6</v>
      </c>
      <c r="CD147" s="29">
        <v>46</v>
      </c>
      <c r="CE147" s="29">
        <v>49.4</v>
      </c>
      <c r="CF147" s="29">
        <v>50.6</v>
      </c>
      <c r="CG147" s="78" t="s">
        <v>38</v>
      </c>
      <c r="CH147" s="29">
        <v>0.146</v>
      </c>
      <c r="CI147" s="78" t="s">
        <v>38</v>
      </c>
      <c r="CJ147" s="79" t="s">
        <v>38</v>
      </c>
    </row>
    <row r="148" spans="1:88" ht="16.5" customHeight="1">
      <c r="A148" s="478" t="s">
        <v>59</v>
      </c>
      <c r="B148" s="10" t="s">
        <v>48</v>
      </c>
      <c r="C148" s="11">
        <f aca="true" t="shared" si="92" ref="C148:I148">SUM(C149:C160)</f>
        <v>56564.8</v>
      </c>
      <c r="D148" s="12">
        <f t="shared" si="92"/>
        <v>308</v>
      </c>
      <c r="E148" s="12">
        <f t="shared" si="92"/>
        <v>9531.67</v>
      </c>
      <c r="F148" s="12">
        <f t="shared" si="92"/>
        <v>8402.23</v>
      </c>
      <c r="G148" s="12">
        <f t="shared" si="92"/>
        <v>1129.44</v>
      </c>
      <c r="H148" s="12">
        <f>SUM(H149:H160)</f>
        <v>1763</v>
      </c>
      <c r="I148" s="12">
        <f t="shared" si="92"/>
        <v>1763</v>
      </c>
      <c r="J148" s="12"/>
      <c r="K148" s="224"/>
      <c r="L148" s="11">
        <f>SUM(L149:L160)</f>
        <v>35508.95</v>
      </c>
      <c r="M148" s="12">
        <f>SUM(M149:M160)</f>
        <v>34582.130000000005</v>
      </c>
      <c r="N148" s="12">
        <f>SUM(N149:N160)</f>
        <v>926.82</v>
      </c>
      <c r="O148" s="12"/>
      <c r="P148" s="12">
        <f>SUM(P149:P160)</f>
        <v>318</v>
      </c>
      <c r="Q148" s="12">
        <f t="shared" si="90"/>
        <v>111.6633647798742</v>
      </c>
      <c r="R148" s="12">
        <f aca="true" t="shared" si="93" ref="R148:R160">Q148/150*100</f>
        <v>74.4422431865828</v>
      </c>
      <c r="S148" s="12">
        <f>SUM(S149:S160)/12</f>
        <v>914.1958333333336</v>
      </c>
      <c r="T148" s="12"/>
      <c r="U148" s="12"/>
      <c r="V148" s="12">
        <f>SUM(V149:V160)</f>
        <v>128703</v>
      </c>
      <c r="W148" s="12"/>
      <c r="X148" s="299">
        <f>SUM(X149:X160)/12</f>
        <v>2.4204444444444446</v>
      </c>
      <c r="Y148" s="11">
        <f>SUM(Y149:Y160)</f>
        <v>20018.92</v>
      </c>
      <c r="Z148" s="12">
        <f>SUM(Z149:Z160)</f>
        <v>19182.76</v>
      </c>
      <c r="AA148" s="12">
        <f>SUM(AA149:AA160)</f>
        <v>836.1599999999999</v>
      </c>
      <c r="AB148" s="12"/>
      <c r="AC148" s="12">
        <f>SUM(AC149:AC160)</f>
        <v>165</v>
      </c>
      <c r="AD148" s="12">
        <f>Y148/AC148</f>
        <v>121.32678787878787</v>
      </c>
      <c r="AE148" s="12">
        <f>AD148/150*100</f>
        <v>80.88452525252524</v>
      </c>
      <c r="AF148" s="12">
        <f>SUM(AF149:AF160)/6</f>
        <v>897.7219696969696</v>
      </c>
      <c r="AG148" s="12"/>
      <c r="AH148" s="12"/>
      <c r="AI148" s="12">
        <f>SUM(AI149:AI160)</f>
        <v>69351</v>
      </c>
      <c r="AJ148" s="12"/>
      <c r="AK148" s="70">
        <f>SUM(AK149:AK160)/5</f>
        <v>2.4373333333333336</v>
      </c>
      <c r="AL148" s="11">
        <f>SUM(AL149:AL160)</f>
        <v>60693</v>
      </c>
      <c r="AM148" s="12"/>
      <c r="AN148" s="12"/>
      <c r="AO148" s="12">
        <f>SUM(AO149:AO160)</f>
        <v>23461</v>
      </c>
      <c r="AP148" s="12">
        <f>SUM(AP149:AP160)</f>
        <v>3490</v>
      </c>
      <c r="AQ148" s="12">
        <f>SUM(AQ149:AQ160)</f>
        <v>3490</v>
      </c>
      <c r="AR148" s="12"/>
      <c r="AS148" s="12"/>
      <c r="AT148" s="12"/>
      <c r="AU148" s="16">
        <f>SUM(AU149:AU160)</f>
        <v>37232</v>
      </c>
      <c r="AV148" s="305">
        <f>SUM(AV149:AV160)/12</f>
        <v>0.2291666666666667</v>
      </c>
      <c r="AW148" s="12">
        <f>SUM(AW149:AW160)/12</f>
        <v>1867.3491666666666</v>
      </c>
      <c r="AX148" s="63">
        <v>46.63</v>
      </c>
      <c r="AY148" s="63">
        <v>45.26</v>
      </c>
      <c r="AZ148" s="63">
        <v>8.11</v>
      </c>
      <c r="BA148" s="63">
        <f aca="true" t="shared" si="94" ref="BA148:BF148">SUM(BA149:BA160)/12</f>
        <v>30.922083333333337</v>
      </c>
      <c r="BB148" s="63">
        <f t="shared" si="94"/>
        <v>3.047916666666667</v>
      </c>
      <c r="BC148" s="63">
        <f t="shared" si="94"/>
        <v>24.426666666666666</v>
      </c>
      <c r="BD148" s="63">
        <f t="shared" si="94"/>
        <v>32.8775</v>
      </c>
      <c r="BE148" s="63">
        <f t="shared" si="94"/>
        <v>2.580833333333333</v>
      </c>
      <c r="BF148" s="63">
        <f t="shared" si="94"/>
        <v>3.9450000000000007</v>
      </c>
      <c r="BG148" s="299">
        <v>2.19</v>
      </c>
      <c r="BH148" s="11">
        <f>SUM(BH149:BH160)/12</f>
        <v>39086.671</v>
      </c>
      <c r="BI148" s="12">
        <f>SUM(BI149:BI160)/6</f>
        <v>30600.897166666662</v>
      </c>
      <c r="BJ148" s="12"/>
      <c r="BK148" s="12">
        <f>SUM(BK149:BK160)/12</f>
        <v>158.35722222222225</v>
      </c>
      <c r="BL148" s="12">
        <f>SUM(BL149:BL160)/6</f>
        <v>156.63344444444445</v>
      </c>
      <c r="BM148" s="12"/>
      <c r="BN148" s="50">
        <f>SUM(BN149:BN160)</f>
        <v>19847.399999999998</v>
      </c>
      <c r="BO148" s="12">
        <f>SUM(BO149:BO160)</f>
        <v>19847.399999999998</v>
      </c>
      <c r="BP148" s="16"/>
      <c r="BQ148" s="310">
        <f>SUM(BQ149:BQ160)/12</f>
        <v>9.519861111111112</v>
      </c>
      <c r="BR148" s="311">
        <f>SUM(BR149:BR160)/6</f>
        <v>11.50625</v>
      </c>
      <c r="BS148" s="311"/>
      <c r="BT148" s="311">
        <f>SUM(BT149:BT160)/12</f>
        <v>40.38513888888888</v>
      </c>
      <c r="BU148" s="311">
        <f>SUM(BU149:BU160)/6</f>
        <v>38.32511111111111</v>
      </c>
      <c r="BV148" s="311"/>
      <c r="BW148" s="311">
        <f>SUM(BW149:BW160)/12</f>
        <v>6.054305555555556</v>
      </c>
      <c r="BX148" s="311">
        <f>SUM(BX149:BX160)/6</f>
        <v>3.2338333333333336</v>
      </c>
      <c r="BY148" s="311"/>
      <c r="BZ148" s="311">
        <f>SUM(BZ149:BZ160)/12</f>
        <v>10.231388888888889</v>
      </c>
      <c r="CA148" s="311">
        <f>SUM(CA149:CA160)/6</f>
        <v>9.936055555555557</v>
      </c>
      <c r="CB148" s="312"/>
      <c r="CC148" s="310">
        <f aca="true" t="shared" si="95" ref="CC148:CJ148">AVERAGE(CC149:CC160)</f>
        <v>7.400000000000001</v>
      </c>
      <c r="CD148" s="311">
        <f t="shared" si="95"/>
        <v>5.120833333333334</v>
      </c>
      <c r="CE148" s="311">
        <f t="shared" si="95"/>
        <v>9.8975</v>
      </c>
      <c r="CF148" s="311">
        <f t="shared" si="95"/>
        <v>10.25</v>
      </c>
      <c r="CG148" s="311">
        <f t="shared" si="95"/>
        <v>0.03450000000000001</v>
      </c>
      <c r="CH148" s="311">
        <f t="shared" si="95"/>
        <v>0.0085</v>
      </c>
      <c r="CI148" s="322">
        <f t="shared" si="95"/>
        <v>0</v>
      </c>
      <c r="CJ148" s="323">
        <f t="shared" si="95"/>
        <v>0.023666666666666666</v>
      </c>
    </row>
    <row r="149" spans="1:88" ht="16.5" customHeight="1">
      <c r="A149" s="592"/>
      <c r="B149" s="3" t="s">
        <v>19</v>
      </c>
      <c r="C149" s="39">
        <v>2751.68</v>
      </c>
      <c r="D149" s="14">
        <v>25</v>
      </c>
      <c r="E149" s="14">
        <f aca="true" t="shared" si="96" ref="E149:E160">F149+G149</f>
        <v>650</v>
      </c>
      <c r="F149" s="14">
        <v>550</v>
      </c>
      <c r="G149" s="14">
        <v>100</v>
      </c>
      <c r="H149" s="14">
        <v>55</v>
      </c>
      <c r="I149" s="14">
        <v>55</v>
      </c>
      <c r="J149" s="14"/>
      <c r="K149" s="226"/>
      <c r="L149" s="38">
        <f>M149+N149</f>
        <v>3641.22</v>
      </c>
      <c r="M149" s="13">
        <v>3586</v>
      </c>
      <c r="N149" s="13">
        <v>55.22</v>
      </c>
      <c r="O149" s="13"/>
      <c r="P149" s="13">
        <v>31</v>
      </c>
      <c r="Q149" s="13">
        <f t="shared" si="90"/>
        <v>117.45870967741935</v>
      </c>
      <c r="R149" s="13">
        <f t="shared" si="93"/>
        <v>78.30580645161291</v>
      </c>
      <c r="S149" s="13">
        <v>895.2</v>
      </c>
      <c r="T149" s="13"/>
      <c r="U149" s="13"/>
      <c r="V149" s="244">
        <f>560+430+250+480+830+723+847</f>
        <v>4120</v>
      </c>
      <c r="W149" s="13"/>
      <c r="X149" s="300">
        <v>2.95</v>
      </c>
      <c r="Y149" s="39"/>
      <c r="Z149" s="14"/>
      <c r="AA149" s="14"/>
      <c r="AB149" s="14"/>
      <c r="AC149" s="14"/>
      <c r="AD149" s="14"/>
      <c r="AE149" s="14"/>
      <c r="AF149" s="14"/>
      <c r="AG149" s="14"/>
      <c r="AH149" s="136"/>
      <c r="AI149" s="14"/>
      <c r="AJ149" s="14"/>
      <c r="AK149" s="55"/>
      <c r="AL149" s="38">
        <v>3959</v>
      </c>
      <c r="AM149" s="13"/>
      <c r="AN149" s="13"/>
      <c r="AO149" s="13">
        <v>1539</v>
      </c>
      <c r="AP149" s="13">
        <v>235</v>
      </c>
      <c r="AQ149" s="13">
        <f aca="true" t="shared" si="97" ref="AQ149:AQ160">AP149</f>
        <v>235</v>
      </c>
      <c r="AR149" s="13"/>
      <c r="AS149" s="13"/>
      <c r="AT149" s="13"/>
      <c r="AU149" s="17">
        <f aca="true" t="shared" si="98" ref="AU149:AU160">AL149-AO149</f>
        <v>2420</v>
      </c>
      <c r="AV149" s="306">
        <v>0.25</v>
      </c>
      <c r="AW149" s="13">
        <v>1850</v>
      </c>
      <c r="AX149" s="303">
        <v>41.95</v>
      </c>
      <c r="AY149" s="303">
        <v>50.64</v>
      </c>
      <c r="AZ149" s="303">
        <v>7.41</v>
      </c>
      <c r="BA149" s="303">
        <v>26.95</v>
      </c>
      <c r="BB149" s="303">
        <v>1.85</v>
      </c>
      <c r="BC149" s="303">
        <v>23.87</v>
      </c>
      <c r="BD149" s="303">
        <v>34.94</v>
      </c>
      <c r="BE149" s="303">
        <v>4.52</v>
      </c>
      <c r="BF149" s="303">
        <v>7.87</v>
      </c>
      <c r="BG149" s="300">
        <v>0</v>
      </c>
      <c r="BH149" s="38">
        <f>(57569.36+44858.91+41415.61+31010.39+42986.78)/5</f>
        <v>43568.21000000001</v>
      </c>
      <c r="BI149" s="13"/>
      <c r="BJ149" s="13"/>
      <c r="BK149" s="13">
        <f>(155+154+154+150+152)/5</f>
        <v>153</v>
      </c>
      <c r="BL149" s="13"/>
      <c r="BM149" s="13"/>
      <c r="BN149" s="13">
        <f aca="true" t="shared" si="99" ref="BN149:BN160">BO149</f>
        <v>1316</v>
      </c>
      <c r="BO149" s="13">
        <v>1316</v>
      </c>
      <c r="BP149" s="17"/>
      <c r="BQ149" s="313">
        <v>10.73</v>
      </c>
      <c r="BR149" s="314"/>
      <c r="BS149" s="314"/>
      <c r="BT149" s="314">
        <v>46.47</v>
      </c>
      <c r="BU149" s="314"/>
      <c r="BV149" s="314"/>
      <c r="BW149" s="314">
        <v>9.18</v>
      </c>
      <c r="BX149" s="314"/>
      <c r="BY149" s="314"/>
      <c r="BZ149" s="314">
        <v>9.42</v>
      </c>
      <c r="CA149" s="314"/>
      <c r="CB149" s="315"/>
      <c r="CC149" s="313">
        <v>7.01</v>
      </c>
      <c r="CD149" s="314">
        <v>9.69</v>
      </c>
      <c r="CE149" s="314">
        <v>21.53</v>
      </c>
      <c r="CF149" s="314">
        <v>9</v>
      </c>
      <c r="CG149" s="314">
        <v>0.05</v>
      </c>
      <c r="CH149" s="314">
        <v>0.02</v>
      </c>
      <c r="CI149" s="324">
        <v>0</v>
      </c>
      <c r="CJ149" s="325">
        <v>0.02</v>
      </c>
    </row>
    <row r="150" spans="1:88" ht="16.5" customHeight="1">
      <c r="A150" s="592"/>
      <c r="B150" s="3" t="s">
        <v>20</v>
      </c>
      <c r="C150" s="39">
        <v>2983.56</v>
      </c>
      <c r="D150" s="14">
        <v>24</v>
      </c>
      <c r="E150" s="14">
        <f t="shared" si="96"/>
        <v>335</v>
      </c>
      <c r="F150" s="14">
        <v>290</v>
      </c>
      <c r="G150" s="14">
        <v>45</v>
      </c>
      <c r="H150" s="14">
        <v>34</v>
      </c>
      <c r="I150" s="14">
        <v>34</v>
      </c>
      <c r="J150" s="14"/>
      <c r="K150" s="226"/>
      <c r="L150" s="39">
        <f>M150+N150</f>
        <v>1851.02</v>
      </c>
      <c r="M150" s="14">
        <v>1816.53</v>
      </c>
      <c r="N150" s="14">
        <v>34.49</v>
      </c>
      <c r="O150" s="14"/>
      <c r="P150" s="14">
        <v>16</v>
      </c>
      <c r="Q150" s="14">
        <f t="shared" si="90"/>
        <v>115.68875</v>
      </c>
      <c r="R150" s="14">
        <f t="shared" si="93"/>
        <v>77.12583333333333</v>
      </c>
      <c r="S150" s="14">
        <v>905.6</v>
      </c>
      <c r="T150" s="14"/>
      <c r="U150" s="14"/>
      <c r="V150" s="136">
        <f>1220+4193</f>
        <v>5413</v>
      </c>
      <c r="W150" s="14"/>
      <c r="X150" s="89">
        <v>2.73</v>
      </c>
      <c r="Y150" s="39"/>
      <c r="Z150" s="14"/>
      <c r="AA150" s="14"/>
      <c r="AB150" s="14"/>
      <c r="AC150" s="14"/>
      <c r="AD150" s="14"/>
      <c r="AE150" s="14"/>
      <c r="AF150" s="14"/>
      <c r="AG150" s="14"/>
      <c r="AH150" s="136"/>
      <c r="AI150" s="14"/>
      <c r="AJ150" s="14"/>
      <c r="AK150" s="55"/>
      <c r="AL150" s="39">
        <v>2275</v>
      </c>
      <c r="AM150" s="14"/>
      <c r="AN150" s="14"/>
      <c r="AO150" s="14">
        <v>1026</v>
      </c>
      <c r="AP150" s="14">
        <v>135</v>
      </c>
      <c r="AQ150" s="14">
        <f t="shared" si="97"/>
        <v>135</v>
      </c>
      <c r="AR150" s="14"/>
      <c r="AS150" s="14"/>
      <c r="AT150" s="14"/>
      <c r="AU150" s="18">
        <f t="shared" si="98"/>
        <v>1249</v>
      </c>
      <c r="AV150" s="307">
        <v>0.24</v>
      </c>
      <c r="AW150" s="14">
        <v>1721</v>
      </c>
      <c r="AX150" s="304">
        <v>41.95</v>
      </c>
      <c r="AY150" s="304">
        <v>48.72</v>
      </c>
      <c r="AZ150" s="304">
        <v>9.33</v>
      </c>
      <c r="BA150" s="304">
        <v>30.22</v>
      </c>
      <c r="BB150" s="304">
        <v>2.08</v>
      </c>
      <c r="BC150" s="304">
        <v>22.12</v>
      </c>
      <c r="BD150" s="304">
        <v>37</v>
      </c>
      <c r="BE150" s="304">
        <v>1.95</v>
      </c>
      <c r="BF150" s="304">
        <v>6.63</v>
      </c>
      <c r="BG150" s="89">
        <v>0</v>
      </c>
      <c r="BH150" s="39">
        <f>(42522.35+56775.89)/2</f>
        <v>49649.119999999995</v>
      </c>
      <c r="BI150" s="14"/>
      <c r="BJ150" s="14"/>
      <c r="BK150" s="14">
        <f>(157+154)/2</f>
        <v>155.5</v>
      </c>
      <c r="BL150" s="14"/>
      <c r="BM150" s="14"/>
      <c r="BN150" s="14">
        <f t="shared" si="99"/>
        <v>1068</v>
      </c>
      <c r="BO150" s="14">
        <v>1068</v>
      </c>
      <c r="BP150" s="18"/>
      <c r="BQ150" s="316">
        <v>13.12</v>
      </c>
      <c r="BR150" s="317"/>
      <c r="BS150" s="317"/>
      <c r="BT150" s="317">
        <v>55.75</v>
      </c>
      <c r="BU150" s="317"/>
      <c r="BV150" s="317"/>
      <c r="BW150" s="317">
        <v>16.18</v>
      </c>
      <c r="BX150" s="317"/>
      <c r="BY150" s="317"/>
      <c r="BZ150" s="317">
        <v>10.14</v>
      </c>
      <c r="CA150" s="317"/>
      <c r="CB150" s="318"/>
      <c r="CC150" s="316">
        <v>7.37</v>
      </c>
      <c r="CD150" s="317">
        <v>1.77</v>
      </c>
      <c r="CE150" s="317">
        <v>4.3</v>
      </c>
      <c r="CF150" s="317">
        <v>10.5</v>
      </c>
      <c r="CG150" s="317">
        <v>0.04</v>
      </c>
      <c r="CH150" s="317">
        <v>0.01</v>
      </c>
      <c r="CI150" s="326">
        <v>0</v>
      </c>
      <c r="CJ150" s="327">
        <v>0.01</v>
      </c>
    </row>
    <row r="151" spans="1:88" ht="16.5" customHeight="1">
      <c r="A151" s="592"/>
      <c r="B151" s="3" t="s">
        <v>21</v>
      </c>
      <c r="C151" s="39">
        <v>3654.81</v>
      </c>
      <c r="D151" s="14">
        <v>27</v>
      </c>
      <c r="E151" s="14">
        <f t="shared" si="96"/>
        <v>727</v>
      </c>
      <c r="F151" s="14">
        <v>608</v>
      </c>
      <c r="G151" s="14">
        <v>119</v>
      </c>
      <c r="H151" s="14">
        <v>53</v>
      </c>
      <c r="I151" s="14">
        <v>53</v>
      </c>
      <c r="J151" s="14"/>
      <c r="K151" s="226"/>
      <c r="L151" s="363">
        <f>SUM(M151:N151)</f>
        <v>3525.34</v>
      </c>
      <c r="M151" s="14">
        <v>3472.5</v>
      </c>
      <c r="N151" s="14">
        <v>52.84</v>
      </c>
      <c r="O151" s="14"/>
      <c r="P151" s="14">
        <v>31</v>
      </c>
      <c r="Q151" s="14">
        <f t="shared" si="90"/>
        <v>113.72064516129032</v>
      </c>
      <c r="R151" s="14">
        <f t="shared" si="93"/>
        <v>75.81376344086021</v>
      </c>
      <c r="S151" s="14">
        <v>931.8</v>
      </c>
      <c r="T151" s="14"/>
      <c r="U151" s="14"/>
      <c r="V151" s="136">
        <f>695+560</f>
        <v>1255</v>
      </c>
      <c r="W151" s="14"/>
      <c r="X151" s="89">
        <f>(2.13+1.75+1.89+2.05+3.14)/5</f>
        <v>2.1919999999999997</v>
      </c>
      <c r="Y151" s="39"/>
      <c r="Z151" s="14"/>
      <c r="AA151" s="14"/>
      <c r="AB151" s="14"/>
      <c r="AC151" s="14"/>
      <c r="AD151" s="14"/>
      <c r="AE151" s="14"/>
      <c r="AF151" s="14"/>
      <c r="AG151" s="14"/>
      <c r="AH151" s="136"/>
      <c r="AI151" s="14"/>
      <c r="AJ151" s="14"/>
      <c r="AK151" s="55"/>
      <c r="AL151" s="39">
        <v>4248</v>
      </c>
      <c r="AM151" s="14"/>
      <c r="AN151" s="14"/>
      <c r="AO151" s="14">
        <v>2091</v>
      </c>
      <c r="AP151" s="14">
        <v>291</v>
      </c>
      <c r="AQ151" s="14">
        <f t="shared" si="97"/>
        <v>291</v>
      </c>
      <c r="AR151" s="14"/>
      <c r="AS151" s="14"/>
      <c r="AT151" s="14"/>
      <c r="AU151" s="18">
        <f t="shared" si="98"/>
        <v>2157</v>
      </c>
      <c r="AV151" s="307">
        <v>0.28</v>
      </c>
      <c r="AW151" s="14">
        <v>1802</v>
      </c>
      <c r="AX151" s="304">
        <v>44.67</v>
      </c>
      <c r="AY151" s="304">
        <v>44.1</v>
      </c>
      <c r="AZ151" s="304">
        <v>11.23</v>
      </c>
      <c r="BA151" s="304">
        <v>29.45</v>
      </c>
      <c r="BB151" s="304">
        <v>3.23</v>
      </c>
      <c r="BC151" s="304">
        <v>23.17</v>
      </c>
      <c r="BD151" s="304">
        <v>31.25</v>
      </c>
      <c r="BE151" s="304">
        <v>3.47</v>
      </c>
      <c r="BF151" s="304">
        <v>5.24</v>
      </c>
      <c r="BG151" s="89">
        <v>4.19</v>
      </c>
      <c r="BH151" s="39">
        <f>(72398.5+52601.15+49851.39+65810.98+56653.62)/5</f>
        <v>59463.12799999999</v>
      </c>
      <c r="BI151" s="14"/>
      <c r="BJ151" s="14"/>
      <c r="BK151" s="14">
        <f>(154+154+150+152+161)/5</f>
        <v>154.2</v>
      </c>
      <c r="BL151" s="14"/>
      <c r="BM151" s="14"/>
      <c r="BN151" s="14">
        <f t="shared" si="99"/>
        <v>1751</v>
      </c>
      <c r="BO151" s="14">
        <v>1751</v>
      </c>
      <c r="BP151" s="18"/>
      <c r="BQ151" s="316">
        <v>8.77</v>
      </c>
      <c r="BR151" s="317"/>
      <c r="BS151" s="317"/>
      <c r="BT151" s="317">
        <v>57.25</v>
      </c>
      <c r="BU151" s="317"/>
      <c r="BV151" s="317"/>
      <c r="BW151" s="317">
        <v>16.26</v>
      </c>
      <c r="BX151" s="317"/>
      <c r="BY151" s="317"/>
      <c r="BZ151" s="317">
        <v>9.87</v>
      </c>
      <c r="CA151" s="317"/>
      <c r="CB151" s="318"/>
      <c r="CC151" s="316">
        <v>7.29</v>
      </c>
      <c r="CD151" s="317">
        <v>2.29</v>
      </c>
      <c r="CE151" s="317">
        <v>5.43</v>
      </c>
      <c r="CF151" s="317">
        <v>11.5</v>
      </c>
      <c r="CG151" s="317">
        <v>0.03</v>
      </c>
      <c r="CH151" s="317">
        <v>0.01</v>
      </c>
      <c r="CI151" s="326">
        <v>0</v>
      </c>
      <c r="CJ151" s="327">
        <v>0.01</v>
      </c>
    </row>
    <row r="152" spans="1:88" ht="16.5" customHeight="1">
      <c r="A152" s="592"/>
      <c r="B152" s="3" t="s">
        <v>22</v>
      </c>
      <c r="C152" s="39">
        <v>3162.61</v>
      </c>
      <c r="D152" s="14">
        <v>25</v>
      </c>
      <c r="E152" s="14">
        <f t="shared" si="96"/>
        <v>635</v>
      </c>
      <c r="F152" s="14">
        <v>537</v>
      </c>
      <c r="G152" s="14">
        <v>98</v>
      </c>
      <c r="H152" s="14">
        <v>46</v>
      </c>
      <c r="I152" s="14">
        <v>46</v>
      </c>
      <c r="J152" s="14"/>
      <c r="K152" s="226"/>
      <c r="L152" s="39">
        <f aca="true" t="shared" si="100" ref="L152:L160">M152+N152</f>
        <v>3640.74</v>
      </c>
      <c r="M152" s="14">
        <v>3595.2</v>
      </c>
      <c r="N152" s="14">
        <v>45.54</v>
      </c>
      <c r="O152" s="14"/>
      <c r="P152" s="14">
        <v>30</v>
      </c>
      <c r="Q152" s="14">
        <f t="shared" si="90"/>
        <v>121.35799999999999</v>
      </c>
      <c r="R152" s="14">
        <f t="shared" si="93"/>
        <v>80.90533333333333</v>
      </c>
      <c r="S152" s="14">
        <v>933.3</v>
      </c>
      <c r="T152" s="14"/>
      <c r="U152" s="14"/>
      <c r="V152" s="136">
        <f>350+290+410</f>
        <v>1050</v>
      </c>
      <c r="W152" s="14"/>
      <c r="X152" s="89">
        <v>1.97</v>
      </c>
      <c r="Y152" s="39"/>
      <c r="Z152" s="14"/>
      <c r="AA152" s="14"/>
      <c r="AB152" s="14"/>
      <c r="AC152" s="14"/>
      <c r="AD152" s="14"/>
      <c r="AE152" s="14"/>
      <c r="AF152" s="14"/>
      <c r="AG152" s="14"/>
      <c r="AH152" s="136"/>
      <c r="AI152" s="14"/>
      <c r="AJ152" s="14"/>
      <c r="AK152" s="55"/>
      <c r="AL152" s="39">
        <v>4340</v>
      </c>
      <c r="AM152" s="14"/>
      <c r="AN152" s="14"/>
      <c r="AO152" s="14">
        <v>1815</v>
      </c>
      <c r="AP152" s="14">
        <v>254</v>
      </c>
      <c r="AQ152" s="14">
        <f t="shared" si="97"/>
        <v>254</v>
      </c>
      <c r="AR152" s="14"/>
      <c r="AS152" s="14"/>
      <c r="AT152" s="14"/>
      <c r="AU152" s="18">
        <f t="shared" si="98"/>
        <v>2525</v>
      </c>
      <c r="AV152" s="307">
        <v>0.24</v>
      </c>
      <c r="AW152" s="14">
        <f>(1719+2064)/2</f>
        <v>1891.5</v>
      </c>
      <c r="AX152" s="304">
        <f>(41.26+39.05)/2</f>
        <v>40.155</v>
      </c>
      <c r="AY152" s="304">
        <f>(53.09+46.3)/2</f>
        <v>49.695</v>
      </c>
      <c r="AZ152" s="304">
        <v>10.15</v>
      </c>
      <c r="BA152" s="304">
        <f>(26.28+29.81)/2</f>
        <v>28.045</v>
      </c>
      <c r="BB152" s="304">
        <f>(6.23+5.22)/2</f>
        <v>5.725</v>
      </c>
      <c r="BC152" s="304">
        <f>(22.14+20.12)/2</f>
        <v>21.130000000000003</v>
      </c>
      <c r="BD152" s="304">
        <f>(32.85+35.77)/2</f>
        <v>34.31</v>
      </c>
      <c r="BE152" s="304">
        <f>(2.63+0.95)/2</f>
        <v>1.79</v>
      </c>
      <c r="BF152" s="304">
        <f>(4.12+5.96)/2</f>
        <v>5.04</v>
      </c>
      <c r="BG152" s="89">
        <f>(5.75+2.17)/2</f>
        <v>3.96</v>
      </c>
      <c r="BH152" s="39">
        <f>(58882.26+52199.8+54258+46136.92)/4</f>
        <v>52869.244999999995</v>
      </c>
      <c r="BI152" s="14"/>
      <c r="BJ152" s="14"/>
      <c r="BK152" s="14">
        <f>(159+157+159+162)/4</f>
        <v>159.25</v>
      </c>
      <c r="BL152" s="14"/>
      <c r="BM152" s="14"/>
      <c r="BN152" s="14">
        <f t="shared" si="99"/>
        <v>1511</v>
      </c>
      <c r="BO152" s="14">
        <v>1511</v>
      </c>
      <c r="BP152" s="18"/>
      <c r="BQ152" s="316">
        <v>10.78</v>
      </c>
      <c r="BR152" s="317"/>
      <c r="BS152" s="317"/>
      <c r="BT152" s="317">
        <v>50.13</v>
      </c>
      <c r="BU152" s="317"/>
      <c r="BV152" s="317"/>
      <c r="BW152" s="317">
        <v>5.41</v>
      </c>
      <c r="BX152" s="317"/>
      <c r="BY152" s="317"/>
      <c r="BZ152" s="317">
        <v>10.69</v>
      </c>
      <c r="CA152" s="317"/>
      <c r="CB152" s="318"/>
      <c r="CC152" s="316">
        <v>7.33</v>
      </c>
      <c r="CD152" s="317">
        <v>2.5</v>
      </c>
      <c r="CE152" s="317">
        <v>5.79</v>
      </c>
      <c r="CF152" s="317">
        <v>11.5</v>
      </c>
      <c r="CG152" s="317">
        <v>0.02</v>
      </c>
      <c r="CH152" s="317">
        <v>0</v>
      </c>
      <c r="CI152" s="326">
        <v>0</v>
      </c>
      <c r="CJ152" s="327">
        <v>0.02</v>
      </c>
    </row>
    <row r="153" spans="1:88" ht="16.5" customHeight="1">
      <c r="A153" s="592"/>
      <c r="B153" s="3" t="s">
        <v>23</v>
      </c>
      <c r="C153" s="39">
        <v>3434.99</v>
      </c>
      <c r="D153" s="14">
        <v>26</v>
      </c>
      <c r="E153" s="14">
        <f t="shared" si="96"/>
        <v>700.5699999999999</v>
      </c>
      <c r="F153" s="14">
        <v>590.8</v>
      </c>
      <c r="G153" s="14">
        <v>109.77</v>
      </c>
      <c r="H153" s="14">
        <v>86</v>
      </c>
      <c r="I153" s="14">
        <v>86</v>
      </c>
      <c r="J153" s="14"/>
      <c r="K153" s="226"/>
      <c r="L153" s="39">
        <f t="shared" si="100"/>
        <v>3713.8799999999997</v>
      </c>
      <c r="M153" s="14">
        <v>3628.2</v>
      </c>
      <c r="N153" s="14">
        <v>85.68</v>
      </c>
      <c r="O153" s="14"/>
      <c r="P153" s="14">
        <v>31</v>
      </c>
      <c r="Q153" s="14">
        <f t="shared" si="90"/>
        <v>119.80258064516129</v>
      </c>
      <c r="R153" s="14">
        <f t="shared" si="93"/>
        <v>79.86838709677419</v>
      </c>
      <c r="S153" s="14">
        <v>939.6</v>
      </c>
      <c r="T153" s="14"/>
      <c r="U153" s="14"/>
      <c r="V153" s="136">
        <f>450+600</f>
        <v>1050</v>
      </c>
      <c r="W153" s="14"/>
      <c r="X153" s="89">
        <v>2.52</v>
      </c>
      <c r="Y153" s="39"/>
      <c r="Z153" s="14"/>
      <c r="AA153" s="14"/>
      <c r="AB153" s="14"/>
      <c r="AC153" s="14"/>
      <c r="AD153" s="14"/>
      <c r="AE153" s="14"/>
      <c r="AF153" s="14"/>
      <c r="AG153" s="14"/>
      <c r="AH153" s="136"/>
      <c r="AI153" s="14"/>
      <c r="AJ153" s="14"/>
      <c r="AK153" s="55"/>
      <c r="AL153" s="39">
        <v>4537</v>
      </c>
      <c r="AM153" s="14"/>
      <c r="AN153" s="14"/>
      <c r="AO153" s="14">
        <v>1736</v>
      </c>
      <c r="AP153" s="14">
        <v>250</v>
      </c>
      <c r="AQ153" s="14">
        <f t="shared" si="97"/>
        <v>250</v>
      </c>
      <c r="AR153" s="14"/>
      <c r="AS153" s="14"/>
      <c r="AT153" s="14"/>
      <c r="AU153" s="18">
        <f t="shared" si="98"/>
        <v>2801</v>
      </c>
      <c r="AV153" s="307">
        <v>0.25</v>
      </c>
      <c r="AW153" s="14">
        <v>1859.58</v>
      </c>
      <c r="AX153" s="304">
        <v>43.92</v>
      </c>
      <c r="AY153" s="304">
        <v>46.35</v>
      </c>
      <c r="AZ153" s="304">
        <v>9.73</v>
      </c>
      <c r="BA153" s="304">
        <v>31.89</v>
      </c>
      <c r="BB153" s="304">
        <v>3.22</v>
      </c>
      <c r="BC153" s="304">
        <v>21.03</v>
      </c>
      <c r="BD153" s="304">
        <v>34.79</v>
      </c>
      <c r="BE153" s="304">
        <v>1.63</v>
      </c>
      <c r="BF153" s="304">
        <v>4.28</v>
      </c>
      <c r="BG153" s="89">
        <v>3.16</v>
      </c>
      <c r="BH153" s="39">
        <f>(53746.98+48630.04+29719+28650.43+31202.53)/5</f>
        <v>38389.796</v>
      </c>
      <c r="BI153" s="14"/>
      <c r="BJ153" s="14"/>
      <c r="BK153" s="14">
        <f>(158+159+157+174.2+162)/5</f>
        <v>162.04000000000002</v>
      </c>
      <c r="BL153" s="14"/>
      <c r="BM153" s="14"/>
      <c r="BN153" s="14">
        <f t="shared" si="99"/>
        <v>1640</v>
      </c>
      <c r="BO153" s="14">
        <v>1640</v>
      </c>
      <c r="BP153" s="18"/>
      <c r="BQ153" s="316">
        <v>11.73</v>
      </c>
      <c r="BR153" s="317"/>
      <c r="BS153" s="317"/>
      <c r="BT153" s="317">
        <v>41.8</v>
      </c>
      <c r="BU153" s="317"/>
      <c r="BV153" s="317"/>
      <c r="BW153" s="317">
        <v>1.81</v>
      </c>
      <c r="BX153" s="317"/>
      <c r="BY153" s="317"/>
      <c r="BZ153" s="317">
        <v>10.41</v>
      </c>
      <c r="CA153" s="317"/>
      <c r="CB153" s="318"/>
      <c r="CC153" s="316">
        <v>7.73</v>
      </c>
      <c r="CD153" s="317">
        <v>2.32</v>
      </c>
      <c r="CE153" s="317">
        <v>5.48</v>
      </c>
      <c r="CF153" s="317">
        <v>8</v>
      </c>
      <c r="CG153" s="317">
        <v>0.04</v>
      </c>
      <c r="CH153" s="317">
        <v>0</v>
      </c>
      <c r="CI153" s="326">
        <v>0</v>
      </c>
      <c r="CJ153" s="327">
        <v>0.03</v>
      </c>
    </row>
    <row r="154" spans="1:88" ht="16.5" customHeight="1">
      <c r="A154" s="592"/>
      <c r="B154" s="3" t="s">
        <v>24</v>
      </c>
      <c r="C154" s="39">
        <v>3799.73</v>
      </c>
      <c r="D154" s="14">
        <v>26</v>
      </c>
      <c r="E154" s="14">
        <f t="shared" si="96"/>
        <v>540</v>
      </c>
      <c r="F154" s="14">
        <v>475.44</v>
      </c>
      <c r="G154" s="14">
        <v>64.56</v>
      </c>
      <c r="H154" s="14">
        <v>52</v>
      </c>
      <c r="I154" s="14">
        <v>52</v>
      </c>
      <c r="J154" s="14"/>
      <c r="K154" s="226"/>
      <c r="L154" s="39">
        <f t="shared" si="100"/>
        <v>3170.61</v>
      </c>
      <c r="M154" s="14">
        <f>777.4+2340.9</f>
        <v>3118.3</v>
      </c>
      <c r="N154" s="14">
        <f>17.3+35.01</f>
        <v>52.31</v>
      </c>
      <c r="O154" s="14"/>
      <c r="P154" s="14">
        <v>24</v>
      </c>
      <c r="Q154" s="14">
        <f t="shared" si="90"/>
        <v>132.10875000000001</v>
      </c>
      <c r="R154" s="14">
        <f t="shared" si="93"/>
        <v>88.0725</v>
      </c>
      <c r="S154" s="14">
        <f>1890.7/2</f>
        <v>945.35</v>
      </c>
      <c r="T154" s="14"/>
      <c r="U154" s="14"/>
      <c r="V154" s="136">
        <f>1870+6704+3187+259</f>
        <v>12020</v>
      </c>
      <c r="W154" s="14"/>
      <c r="X154" s="89">
        <v>2.75</v>
      </c>
      <c r="Y154" s="39"/>
      <c r="Z154" s="14"/>
      <c r="AA154" s="14"/>
      <c r="AB154" s="14"/>
      <c r="AC154" s="14"/>
      <c r="AD154" s="14"/>
      <c r="AE154" s="14"/>
      <c r="AF154" s="14"/>
      <c r="AG154" s="14"/>
      <c r="AH154" s="136"/>
      <c r="AI154" s="14"/>
      <c r="AJ154" s="14"/>
      <c r="AK154" s="55"/>
      <c r="AL154" s="39">
        <v>4498</v>
      </c>
      <c r="AM154" s="14"/>
      <c r="AN154" s="14"/>
      <c r="AO154" s="14">
        <v>1276</v>
      </c>
      <c r="AP154" s="14">
        <v>189</v>
      </c>
      <c r="AQ154" s="14">
        <f t="shared" si="97"/>
        <v>189</v>
      </c>
      <c r="AR154" s="14"/>
      <c r="AS154" s="14"/>
      <c r="AT154" s="14"/>
      <c r="AU154" s="18">
        <f t="shared" si="98"/>
        <v>3222</v>
      </c>
      <c r="AV154" s="307">
        <v>0.24</v>
      </c>
      <c r="AW154" s="14">
        <v>1793.3</v>
      </c>
      <c r="AX154" s="304">
        <v>52.81</v>
      </c>
      <c r="AY154" s="304">
        <v>37.49</v>
      </c>
      <c r="AZ154" s="304">
        <v>9.7</v>
      </c>
      <c r="BA154" s="304">
        <v>31.67</v>
      </c>
      <c r="BB154" s="304">
        <v>2.48</v>
      </c>
      <c r="BC154" s="304">
        <v>22.65</v>
      </c>
      <c r="BD154" s="304">
        <v>36.79</v>
      </c>
      <c r="BE154" s="304">
        <v>2.86</v>
      </c>
      <c r="BF154" s="304">
        <v>2.78</v>
      </c>
      <c r="BG154" s="89">
        <v>0.77</v>
      </c>
      <c r="BH154" s="39">
        <f>(34145.63+34120.7+31903.44)/3</f>
        <v>33389.92333333333</v>
      </c>
      <c r="BI154" s="14"/>
      <c r="BJ154" s="14"/>
      <c r="BK154" s="14">
        <f>(163+169+160)/3</f>
        <v>164</v>
      </c>
      <c r="BL154" s="14"/>
      <c r="BM154" s="14"/>
      <c r="BN154" s="14">
        <f t="shared" si="99"/>
        <v>1539</v>
      </c>
      <c r="BO154" s="14">
        <v>1539</v>
      </c>
      <c r="BP154" s="18"/>
      <c r="BQ154" s="316">
        <v>7.01</v>
      </c>
      <c r="BR154" s="317"/>
      <c r="BS154" s="317"/>
      <c r="BT154" s="317">
        <v>33.9</v>
      </c>
      <c r="BU154" s="317"/>
      <c r="BV154" s="317"/>
      <c r="BW154" s="317">
        <v>1.55</v>
      </c>
      <c r="BX154" s="317"/>
      <c r="BY154" s="317"/>
      <c r="BZ154" s="317">
        <v>9.36</v>
      </c>
      <c r="CA154" s="317"/>
      <c r="CB154" s="318"/>
      <c r="CC154" s="316">
        <v>6.92</v>
      </c>
      <c r="CD154" s="317">
        <v>3.86</v>
      </c>
      <c r="CE154" s="317">
        <v>7.45</v>
      </c>
      <c r="CF154" s="317">
        <v>12</v>
      </c>
      <c r="CG154" s="317">
        <v>0.03</v>
      </c>
      <c r="CH154" s="317">
        <v>0.01</v>
      </c>
      <c r="CI154" s="326">
        <v>0</v>
      </c>
      <c r="CJ154" s="327">
        <v>0.02</v>
      </c>
    </row>
    <row r="155" spans="1:88" ht="16.5" customHeight="1">
      <c r="A155" s="592"/>
      <c r="B155" s="3" t="s">
        <v>25</v>
      </c>
      <c r="C155" s="39">
        <v>4717.07</v>
      </c>
      <c r="D155" s="14">
        <v>25</v>
      </c>
      <c r="E155" s="14">
        <f t="shared" si="96"/>
        <v>862.1</v>
      </c>
      <c r="F155" s="14">
        <v>779.9</v>
      </c>
      <c r="G155" s="14">
        <v>82.2</v>
      </c>
      <c r="H155" s="14">
        <v>399</v>
      </c>
      <c r="I155" s="14">
        <v>399</v>
      </c>
      <c r="J155" s="14"/>
      <c r="K155" s="226"/>
      <c r="L155" s="39">
        <f t="shared" si="100"/>
        <v>2844.0000000000005</v>
      </c>
      <c r="M155" s="14">
        <f>1503.1+139.9+128.8+128.3+112.5+89.4+137.8+131.6+133.9+140.3</f>
        <v>2645.6000000000004</v>
      </c>
      <c r="N155" s="14">
        <f>166.36+3.12+3.08+2.64+3.09+3.07+3.09+3.19+3.22+7.54</f>
        <v>198.4</v>
      </c>
      <c r="O155" s="14"/>
      <c r="P155" s="14">
        <v>26</v>
      </c>
      <c r="Q155" s="14">
        <f t="shared" si="90"/>
        <v>109.3846153846154</v>
      </c>
      <c r="R155" s="14">
        <f t="shared" si="93"/>
        <v>72.92307692307693</v>
      </c>
      <c r="S155" s="14">
        <v>904.5</v>
      </c>
      <c r="T155" s="14"/>
      <c r="U155" s="14"/>
      <c r="V155" s="136">
        <f>560+1100+3900+3556+1530+800+756+3000+2950+2300+1200+1500+763+370</f>
        <v>24285</v>
      </c>
      <c r="W155" s="14"/>
      <c r="X155" s="89">
        <f>(3.21+2.83+3.69)/3</f>
        <v>3.2433333333333336</v>
      </c>
      <c r="Y155" s="39">
        <f aca="true" t="shared" si="101" ref="Y155:Y160">Z155+AA155</f>
        <v>2498.6200000000003</v>
      </c>
      <c r="Z155" s="14">
        <f>99.7+100.1+116.38+117.2+98+124.2+113+109.1+117.6+95.8+117.4+107.9+91.6+116.2+74.4+65.8+102.8+119.5+67.4+124.6+122.8+96.7</f>
        <v>2298.1800000000003</v>
      </c>
      <c r="AA155" s="14">
        <f>7.57+7.56+7.54+7.5+7.28+7.57+7.67+7.56+10.15+11.39+11.19+10.12+10.96+10.81+10.85+3.41+11.16+10.8+6.68+10.85+10.87+10.95</f>
        <v>200.44</v>
      </c>
      <c r="AB155" s="14"/>
      <c r="AC155" s="14">
        <v>22</v>
      </c>
      <c r="AD155" s="14">
        <f aca="true" t="shared" si="102" ref="AD155:AD160">Y155/AC155</f>
        <v>113.57363636363638</v>
      </c>
      <c r="AE155" s="14">
        <f aca="true" t="shared" si="103" ref="AE155:AE160">AD155/150*100</f>
        <v>75.71575757575759</v>
      </c>
      <c r="AF155" s="14">
        <f>(883+870+902+864.1+888.2+878+871+886+921+873+886+852+850+888+879+591+873.2+886+822.8+900+899+852)/22</f>
        <v>864.3318181818181</v>
      </c>
      <c r="AG155" s="14"/>
      <c r="AH155" s="14"/>
      <c r="AI155" s="136">
        <f>2280+2393+482+525+1950+416+1160+330+1930+1310+6050+500+450</f>
        <v>19776</v>
      </c>
      <c r="AJ155" s="14"/>
      <c r="AK155" s="55">
        <f>(2.78+2.46+2.97)/3</f>
        <v>2.736666666666667</v>
      </c>
      <c r="AL155" s="39">
        <v>5005</v>
      </c>
      <c r="AM155" s="14"/>
      <c r="AN155" s="14"/>
      <c r="AO155" s="14">
        <v>2052</v>
      </c>
      <c r="AP155" s="14">
        <v>300</v>
      </c>
      <c r="AQ155" s="14">
        <f t="shared" si="97"/>
        <v>300</v>
      </c>
      <c r="AR155" s="14"/>
      <c r="AS155" s="14"/>
      <c r="AT155" s="14"/>
      <c r="AU155" s="18">
        <f t="shared" si="98"/>
        <v>2953</v>
      </c>
      <c r="AV155" s="307">
        <v>0.28</v>
      </c>
      <c r="AW155" s="14">
        <v>1628.81</v>
      </c>
      <c r="AX155" s="304">
        <v>54.24</v>
      </c>
      <c r="AY155" s="304">
        <v>39.4</v>
      </c>
      <c r="AZ155" s="304">
        <v>6.36</v>
      </c>
      <c r="BA155" s="304">
        <v>25.77</v>
      </c>
      <c r="BB155" s="304">
        <v>2.75</v>
      </c>
      <c r="BC155" s="304">
        <v>24.14</v>
      </c>
      <c r="BD155" s="304">
        <v>37.42</v>
      </c>
      <c r="BE155" s="304">
        <v>2.88</v>
      </c>
      <c r="BF155" s="304">
        <v>4.76</v>
      </c>
      <c r="BG155" s="89">
        <v>2.28</v>
      </c>
      <c r="BH155" s="39">
        <f>(38895.58+31600.59+26608.02)/3</f>
        <v>32368.063333333335</v>
      </c>
      <c r="BI155" s="14">
        <f>(34050.87+28580.54+27394.93)/3</f>
        <v>30008.78</v>
      </c>
      <c r="BJ155" s="14"/>
      <c r="BK155" s="14">
        <f>(147+152+157)/3</f>
        <v>152</v>
      </c>
      <c r="BL155" s="14">
        <f>(154+149+152)/3</f>
        <v>151.66666666666666</v>
      </c>
      <c r="BM155" s="14"/>
      <c r="BN155" s="14">
        <f t="shared" si="99"/>
        <v>1714.1</v>
      </c>
      <c r="BO155" s="14">
        <v>1714.1</v>
      </c>
      <c r="BP155" s="18"/>
      <c r="BQ155" s="316">
        <f>(7.08+8.39+6.4)/3</f>
        <v>7.29</v>
      </c>
      <c r="BR155" s="317">
        <f>(15.91+7.69+10.6)/3</f>
        <v>11.4</v>
      </c>
      <c r="BS155" s="317"/>
      <c r="BT155" s="317">
        <f>(77.46+34.96)/3</f>
        <v>37.47333333333333</v>
      </c>
      <c r="BU155" s="317">
        <f>(35+44.45+46)/3</f>
        <v>41.81666666666667</v>
      </c>
      <c r="BV155" s="317"/>
      <c r="BW155" s="317">
        <f>(1.63+5.49)/3</f>
        <v>2.3733333333333335</v>
      </c>
      <c r="BX155" s="317">
        <f>(3.23+2.12+3.2)/3</f>
        <v>2.85</v>
      </c>
      <c r="BY155" s="317"/>
      <c r="BZ155" s="317">
        <f>(9.4+18.54)/3</f>
        <v>9.313333333333333</v>
      </c>
      <c r="CA155" s="317">
        <f>(11.34+11+12.98)/3</f>
        <v>11.773333333333333</v>
      </c>
      <c r="CB155" s="318"/>
      <c r="CC155" s="316">
        <v>7.94</v>
      </c>
      <c r="CD155" s="317">
        <v>4.19</v>
      </c>
      <c r="CE155" s="317">
        <v>8.52</v>
      </c>
      <c r="CF155" s="317">
        <v>10</v>
      </c>
      <c r="CG155" s="317">
        <v>0.05</v>
      </c>
      <c r="CH155" s="317">
        <v>0.01</v>
      </c>
      <c r="CI155" s="326">
        <v>0</v>
      </c>
      <c r="CJ155" s="327">
        <v>0.02</v>
      </c>
    </row>
    <row r="156" spans="1:88" ht="16.5" customHeight="1">
      <c r="A156" s="592"/>
      <c r="B156" s="3" t="s">
        <v>26</v>
      </c>
      <c r="C156" s="39">
        <v>6187.2</v>
      </c>
      <c r="D156" s="14">
        <v>27</v>
      </c>
      <c r="E156" s="14">
        <f t="shared" si="96"/>
        <v>924.49</v>
      </c>
      <c r="F156" s="14">
        <v>822.04</v>
      </c>
      <c r="G156" s="14">
        <v>102.45</v>
      </c>
      <c r="H156" s="14">
        <v>290</v>
      </c>
      <c r="I156" s="14">
        <v>290</v>
      </c>
      <c r="J156" s="14"/>
      <c r="K156" s="226"/>
      <c r="L156" s="39">
        <f t="shared" si="100"/>
        <v>2910.48</v>
      </c>
      <c r="M156" s="14">
        <v>2737.7</v>
      </c>
      <c r="N156" s="14">
        <v>172.78</v>
      </c>
      <c r="O156" s="14"/>
      <c r="P156" s="14">
        <v>31</v>
      </c>
      <c r="Q156" s="14">
        <f t="shared" si="90"/>
        <v>93.88645161290323</v>
      </c>
      <c r="R156" s="14">
        <f t="shared" si="93"/>
        <v>62.590967741935486</v>
      </c>
      <c r="S156" s="14">
        <v>906</v>
      </c>
      <c r="T156" s="14"/>
      <c r="U156" s="14"/>
      <c r="V156" s="136">
        <v>16870</v>
      </c>
      <c r="W156" s="14"/>
      <c r="X156" s="89">
        <v>1.3</v>
      </c>
      <c r="Y156" s="39">
        <f t="shared" si="101"/>
        <v>2183.58</v>
      </c>
      <c r="Z156" s="14">
        <v>2065.98</v>
      </c>
      <c r="AA156" s="14">
        <v>117.6</v>
      </c>
      <c r="AB156" s="14"/>
      <c r="AC156" s="14">
        <v>23</v>
      </c>
      <c r="AD156" s="14">
        <f t="shared" si="102"/>
        <v>94.93826086956521</v>
      </c>
      <c r="AE156" s="14">
        <f t="shared" si="103"/>
        <v>63.29217391304347</v>
      </c>
      <c r="AF156" s="14">
        <v>876</v>
      </c>
      <c r="AG156" s="14"/>
      <c r="AH156" s="14"/>
      <c r="AI156" s="136">
        <f>510+2460+1470+4450+370+750+3500+2910+1280+2520</f>
        <v>20220</v>
      </c>
      <c r="AJ156" s="14"/>
      <c r="AK156" s="55">
        <v>0.97</v>
      </c>
      <c r="AL156" s="39">
        <v>4402</v>
      </c>
      <c r="AM156" s="14"/>
      <c r="AN156" s="14"/>
      <c r="AO156" s="14">
        <v>2078</v>
      </c>
      <c r="AP156" s="14">
        <v>315</v>
      </c>
      <c r="AQ156" s="14">
        <f t="shared" si="97"/>
        <v>315</v>
      </c>
      <c r="AR156" s="14"/>
      <c r="AS156" s="14"/>
      <c r="AT156" s="14"/>
      <c r="AU156" s="18">
        <f t="shared" si="98"/>
        <v>2324</v>
      </c>
      <c r="AV156" s="307">
        <v>0.21</v>
      </c>
      <c r="AW156" s="14">
        <v>2046</v>
      </c>
      <c r="AX156" s="304">
        <v>54.3</v>
      </c>
      <c r="AY156" s="304">
        <v>38.49</v>
      </c>
      <c r="AZ156" s="304">
        <v>7.21</v>
      </c>
      <c r="BA156" s="304">
        <v>39.46</v>
      </c>
      <c r="BB156" s="304">
        <v>0.48</v>
      </c>
      <c r="BC156" s="304">
        <v>24.99</v>
      </c>
      <c r="BD156" s="304">
        <v>27.83</v>
      </c>
      <c r="BE156" s="304">
        <v>2.93</v>
      </c>
      <c r="BF156" s="304">
        <v>1.07</v>
      </c>
      <c r="BG156" s="89">
        <v>3.24</v>
      </c>
      <c r="BH156" s="39">
        <f>(28434.11+35254.71+25963.91+29464.86+29408.05)/5</f>
        <v>29705.127999999997</v>
      </c>
      <c r="BI156" s="14">
        <f>(36480.87+32897.18+36071.98+21735.74)/4</f>
        <v>31796.4425</v>
      </c>
      <c r="BJ156" s="14"/>
      <c r="BK156" s="14">
        <f>(161+160+168+163+163.9)/5</f>
        <v>163.18</v>
      </c>
      <c r="BL156" s="14">
        <f>(158+160.5+161+161.1)/4</f>
        <v>160.15</v>
      </c>
      <c r="BM156" s="14"/>
      <c r="BN156" s="14">
        <f t="shared" si="99"/>
        <v>2046.3</v>
      </c>
      <c r="BO156" s="14">
        <v>2046.3</v>
      </c>
      <c r="BP156" s="18"/>
      <c r="BQ156" s="316">
        <v>8.67</v>
      </c>
      <c r="BR156" s="317">
        <v>13.1</v>
      </c>
      <c r="BS156" s="317"/>
      <c r="BT156" s="317">
        <v>34.8</v>
      </c>
      <c r="BU156" s="317">
        <v>39.54</v>
      </c>
      <c r="BV156" s="317"/>
      <c r="BW156" s="317">
        <v>2.7</v>
      </c>
      <c r="BX156" s="317">
        <v>2.21</v>
      </c>
      <c r="BY156" s="317"/>
      <c r="BZ156" s="317">
        <v>9.96</v>
      </c>
      <c r="CA156" s="317">
        <v>8.63</v>
      </c>
      <c r="CB156" s="318"/>
      <c r="CC156" s="316">
        <v>7.99</v>
      </c>
      <c r="CD156" s="317">
        <v>6.3</v>
      </c>
      <c r="CE156" s="317">
        <v>10.09</v>
      </c>
      <c r="CF156" s="317">
        <v>12</v>
      </c>
      <c r="CG156" s="317">
        <v>0.03</v>
      </c>
      <c r="CH156" s="317">
        <v>0.01</v>
      </c>
      <c r="CI156" s="326">
        <v>0</v>
      </c>
      <c r="CJ156" s="327">
        <v>0.02</v>
      </c>
    </row>
    <row r="157" spans="1:88" ht="16.5" customHeight="1">
      <c r="A157" s="592"/>
      <c r="B157" s="3" t="s">
        <v>27</v>
      </c>
      <c r="C157" s="39">
        <v>5518.83</v>
      </c>
      <c r="D157" s="14">
        <v>24</v>
      </c>
      <c r="E157" s="14">
        <f t="shared" si="96"/>
        <v>809.63</v>
      </c>
      <c r="F157" s="14">
        <v>716.96</v>
      </c>
      <c r="G157" s="14">
        <v>92.67</v>
      </c>
      <c r="H157" s="14">
        <v>437</v>
      </c>
      <c r="I157" s="14">
        <v>437</v>
      </c>
      <c r="J157" s="14"/>
      <c r="K157" s="226"/>
      <c r="L157" s="39">
        <f t="shared" si="100"/>
        <v>2574.6899999999996</v>
      </c>
      <c r="M157" s="14">
        <v>2405.2</v>
      </c>
      <c r="N157" s="14">
        <v>169.49</v>
      </c>
      <c r="O157" s="14"/>
      <c r="P157" s="14">
        <v>26</v>
      </c>
      <c r="Q157" s="14">
        <f t="shared" si="90"/>
        <v>99.02653846153845</v>
      </c>
      <c r="R157" s="14">
        <f t="shared" si="93"/>
        <v>66.0176923076923</v>
      </c>
      <c r="S157" s="14">
        <v>897</v>
      </c>
      <c r="T157" s="14"/>
      <c r="U157" s="14"/>
      <c r="V157" s="136">
        <v>40005</v>
      </c>
      <c r="W157" s="14"/>
      <c r="X157" s="89">
        <v>1.66</v>
      </c>
      <c r="Y157" s="39">
        <f t="shared" si="101"/>
        <v>3522.3</v>
      </c>
      <c r="Z157" s="14">
        <v>3254.9</v>
      </c>
      <c r="AA157" s="14">
        <v>267.4</v>
      </c>
      <c r="AB157" s="14"/>
      <c r="AC157" s="14">
        <v>30</v>
      </c>
      <c r="AD157" s="14">
        <f t="shared" si="102"/>
        <v>117.41000000000001</v>
      </c>
      <c r="AE157" s="14">
        <f t="shared" si="103"/>
        <v>78.27333333333334</v>
      </c>
      <c r="AF157" s="14">
        <v>907</v>
      </c>
      <c r="AG157" s="14"/>
      <c r="AH157" s="14"/>
      <c r="AI157" s="136">
        <v>20990</v>
      </c>
      <c r="AJ157" s="14"/>
      <c r="AK157" s="55">
        <v>2.35</v>
      </c>
      <c r="AL157" s="39">
        <v>5451</v>
      </c>
      <c r="AM157" s="14"/>
      <c r="AN157" s="14"/>
      <c r="AO157" s="14">
        <v>2615</v>
      </c>
      <c r="AP157" s="14">
        <v>386</v>
      </c>
      <c r="AQ157" s="14">
        <f t="shared" si="97"/>
        <v>386</v>
      </c>
      <c r="AR157" s="14"/>
      <c r="AS157" s="14"/>
      <c r="AT157" s="14"/>
      <c r="AU157" s="18">
        <f t="shared" si="98"/>
        <v>2836</v>
      </c>
      <c r="AV157" s="307">
        <v>0.19</v>
      </c>
      <c r="AW157" s="14">
        <v>1983</v>
      </c>
      <c r="AX157" s="304">
        <v>47.85</v>
      </c>
      <c r="AY157" s="304">
        <v>45.09</v>
      </c>
      <c r="AZ157" s="304">
        <v>7.06</v>
      </c>
      <c r="BA157" s="304">
        <v>35.62</v>
      </c>
      <c r="BB157" s="304">
        <v>1.47</v>
      </c>
      <c r="BC157" s="304">
        <v>25.16</v>
      </c>
      <c r="BD157" s="304">
        <v>30.76</v>
      </c>
      <c r="BE157" s="304">
        <v>2.59</v>
      </c>
      <c r="BF157" s="304">
        <v>1.28</v>
      </c>
      <c r="BG157" s="89">
        <v>3.12</v>
      </c>
      <c r="BH157" s="39">
        <f>(31973.95+18103.3+27343)/3</f>
        <v>25806.75</v>
      </c>
      <c r="BI157" s="14">
        <f>(27961.54+29557.66+32155.61+29782.11)/4</f>
        <v>29864.23</v>
      </c>
      <c r="BJ157" s="14"/>
      <c r="BK157" s="14">
        <f>(161.4+156.7+163)/3</f>
        <v>160.36666666666667</v>
      </c>
      <c r="BL157" s="14">
        <f>(162.4+157+161+157)/4</f>
        <v>159.35</v>
      </c>
      <c r="BM157" s="14"/>
      <c r="BN157" s="14">
        <f t="shared" si="99"/>
        <v>1819.5</v>
      </c>
      <c r="BO157" s="14">
        <v>1819.5</v>
      </c>
      <c r="BP157" s="18"/>
      <c r="BQ157" s="316">
        <f>(6.86+11.43+9.47)/3</f>
        <v>9.253333333333332</v>
      </c>
      <c r="BR157" s="317">
        <f>(8.14+7.51+8.76+10.5)/4</f>
        <v>8.7275</v>
      </c>
      <c r="BS157" s="317"/>
      <c r="BT157" s="317">
        <f>(40.64+32.72+25.17)/3</f>
        <v>32.843333333333334</v>
      </c>
      <c r="BU157" s="317">
        <f>(35.62+32.01+32.46+27.39)/4</f>
        <v>31.87</v>
      </c>
      <c r="BV157" s="317"/>
      <c r="BW157" s="317">
        <f>(2.75+4.72+2.74)/3</f>
        <v>3.4033333333333338</v>
      </c>
      <c r="BX157" s="317">
        <f>(3.01+2.29+2.93+3.15)/4</f>
        <v>2.845</v>
      </c>
      <c r="BY157" s="317"/>
      <c r="BZ157" s="317">
        <f>(10.14+12.24+10.3)/3</f>
        <v>10.893333333333336</v>
      </c>
      <c r="CA157" s="317">
        <f>(11.62+9.96+10.84+9.6)/4</f>
        <v>10.505</v>
      </c>
      <c r="CB157" s="318"/>
      <c r="CC157" s="316">
        <v>7.83</v>
      </c>
      <c r="CD157" s="317">
        <v>6.46</v>
      </c>
      <c r="CE157" s="317">
        <v>10.87</v>
      </c>
      <c r="CF157" s="317">
        <v>15</v>
      </c>
      <c r="CG157" s="317">
        <v>0.02</v>
      </c>
      <c r="CH157" s="317">
        <v>0</v>
      </c>
      <c r="CI157" s="326">
        <v>0</v>
      </c>
      <c r="CJ157" s="327">
        <v>0.02</v>
      </c>
    </row>
    <row r="158" spans="1:88" ht="16.5" customHeight="1">
      <c r="A158" s="592"/>
      <c r="B158" s="3" t="s">
        <v>28</v>
      </c>
      <c r="C158" s="39">
        <v>6229.54</v>
      </c>
      <c r="D158" s="14">
        <v>26</v>
      </c>
      <c r="E158" s="14">
        <f t="shared" si="96"/>
        <v>1081.77</v>
      </c>
      <c r="F158" s="14">
        <v>970.57</v>
      </c>
      <c r="G158" s="14">
        <v>111.2</v>
      </c>
      <c r="H158" s="14">
        <v>141</v>
      </c>
      <c r="I158" s="14">
        <v>141</v>
      </c>
      <c r="J158" s="14"/>
      <c r="K158" s="226"/>
      <c r="L158" s="39">
        <f t="shared" si="100"/>
        <v>2281.07</v>
      </c>
      <c r="M158" s="14">
        <v>2221</v>
      </c>
      <c r="N158" s="14">
        <v>60.07</v>
      </c>
      <c r="O158" s="14"/>
      <c r="P158" s="14">
        <v>23</v>
      </c>
      <c r="Q158" s="14">
        <f t="shared" si="90"/>
        <v>99.17695652173914</v>
      </c>
      <c r="R158" s="14">
        <f t="shared" si="93"/>
        <v>66.11797101449277</v>
      </c>
      <c r="S158" s="14">
        <v>907</v>
      </c>
      <c r="T158" s="14"/>
      <c r="U158" s="14"/>
      <c r="V158" s="136">
        <f>420+750+350+1390+4560+330</f>
        <v>7800</v>
      </c>
      <c r="W158" s="14"/>
      <c r="X158" s="89">
        <v>3.6</v>
      </c>
      <c r="Y158" s="39">
        <f t="shared" si="101"/>
        <v>3784.96</v>
      </c>
      <c r="Z158" s="14">
        <v>3704.2</v>
      </c>
      <c r="AA158" s="14">
        <v>80.76</v>
      </c>
      <c r="AB158" s="14"/>
      <c r="AC158" s="14">
        <v>31</v>
      </c>
      <c r="AD158" s="14">
        <f t="shared" si="102"/>
        <v>122.09548387096774</v>
      </c>
      <c r="AE158" s="14">
        <f t="shared" si="103"/>
        <v>81.39698924731182</v>
      </c>
      <c r="AF158" s="14">
        <v>912</v>
      </c>
      <c r="AG158" s="14"/>
      <c r="AH158" s="14"/>
      <c r="AI158" s="136">
        <f>540+160+795</f>
        <v>1495</v>
      </c>
      <c r="AJ158" s="14"/>
      <c r="AK158" s="55">
        <v>2.24</v>
      </c>
      <c r="AL158" s="39">
        <v>6695</v>
      </c>
      <c r="AM158" s="14"/>
      <c r="AN158" s="14"/>
      <c r="AO158" s="14">
        <v>2840</v>
      </c>
      <c r="AP158" s="14">
        <v>427</v>
      </c>
      <c r="AQ158" s="14">
        <f t="shared" si="97"/>
        <v>427</v>
      </c>
      <c r="AR158" s="14"/>
      <c r="AS158" s="14"/>
      <c r="AT158" s="14"/>
      <c r="AU158" s="18">
        <f t="shared" si="98"/>
        <v>3855</v>
      </c>
      <c r="AV158" s="307">
        <v>0.18</v>
      </c>
      <c r="AW158" s="14">
        <v>1924</v>
      </c>
      <c r="AX158" s="304">
        <v>42.01</v>
      </c>
      <c r="AY158" s="304">
        <v>47.44</v>
      </c>
      <c r="AZ158" s="304">
        <v>10.55</v>
      </c>
      <c r="BA158" s="304">
        <v>37.22</v>
      </c>
      <c r="BB158" s="304">
        <v>1.93</v>
      </c>
      <c r="BC158" s="304">
        <v>27.11</v>
      </c>
      <c r="BD158" s="304">
        <v>26.11</v>
      </c>
      <c r="BE158" s="304">
        <v>0.91</v>
      </c>
      <c r="BF158" s="304">
        <v>4.7</v>
      </c>
      <c r="BG158" s="89">
        <v>2.02</v>
      </c>
      <c r="BH158" s="39">
        <f>(36459.31+40140)/2</f>
        <v>38299.655</v>
      </c>
      <c r="BI158" s="14">
        <f>(29036.86+37198.21+33268.49+21876.72+28844.51)/5</f>
        <v>30044.958000000002</v>
      </c>
      <c r="BJ158" s="14"/>
      <c r="BK158" s="14">
        <f>(169+157.2)/2</f>
        <v>163.1</v>
      </c>
      <c r="BL158" s="14">
        <f>(162+151.7+151.67+159+176.7)/5</f>
        <v>160.214</v>
      </c>
      <c r="BM158" s="14"/>
      <c r="BN158" s="14">
        <f t="shared" si="99"/>
        <v>1598.3</v>
      </c>
      <c r="BO158" s="14">
        <v>1598.3</v>
      </c>
      <c r="BP158" s="18"/>
      <c r="BQ158" s="316">
        <f>(7.58+6.77)/2</f>
        <v>7.175</v>
      </c>
      <c r="BR158" s="317">
        <f>(8.25+11.69+8.59+8.73+13.19)/5</f>
        <v>10.09</v>
      </c>
      <c r="BS158" s="317"/>
      <c r="BT158" s="317">
        <f>(19.4+20.47)/2</f>
        <v>19.935</v>
      </c>
      <c r="BU158" s="317">
        <f>(20.33+45.24+21.09+28.86+22.95)/5</f>
        <v>27.694</v>
      </c>
      <c r="BV158" s="317"/>
      <c r="BW158" s="317">
        <f>(2.49+5.34)/2</f>
        <v>3.915</v>
      </c>
      <c r="BX158" s="317">
        <f>(3.59+1.62+2.04+2.2+4.89)/5</f>
        <v>2.868</v>
      </c>
      <c r="BY158" s="317"/>
      <c r="BZ158" s="317">
        <f>(11.43+11.79)/2</f>
        <v>11.61</v>
      </c>
      <c r="CA158" s="317">
        <f>(12.17+8.34+9.84+10.13+10.66)/5</f>
        <v>10.228</v>
      </c>
      <c r="CB158" s="318"/>
      <c r="CC158" s="316">
        <v>7.06</v>
      </c>
      <c r="CD158" s="317">
        <v>8.64</v>
      </c>
      <c r="CE158" s="317">
        <v>12.39</v>
      </c>
      <c r="CF158" s="317">
        <v>10.5</v>
      </c>
      <c r="CG158" s="317">
        <v>0.032</v>
      </c>
      <c r="CH158" s="317">
        <v>0.009</v>
      </c>
      <c r="CI158" s="326">
        <v>0</v>
      </c>
      <c r="CJ158" s="327">
        <v>0.032</v>
      </c>
    </row>
    <row r="159" spans="1:88" ht="16.5" customHeight="1">
      <c r="A159" s="592"/>
      <c r="B159" s="3" t="s">
        <v>29</v>
      </c>
      <c r="C159" s="39">
        <v>6963.34</v>
      </c>
      <c r="D159" s="14">
        <v>26</v>
      </c>
      <c r="E159" s="14">
        <f t="shared" si="96"/>
        <v>954.93</v>
      </c>
      <c r="F159" s="14">
        <v>869.54</v>
      </c>
      <c r="G159" s="14">
        <v>85.39</v>
      </c>
      <c r="H159" s="14">
        <v>26</v>
      </c>
      <c r="I159" s="14">
        <v>26</v>
      </c>
      <c r="J159" s="14"/>
      <c r="K159" s="226"/>
      <c r="L159" s="39">
        <f t="shared" si="100"/>
        <v>1843.2</v>
      </c>
      <c r="M159" s="14">
        <v>1843.2</v>
      </c>
      <c r="N159" s="14">
        <v>0</v>
      </c>
      <c r="O159" s="14"/>
      <c r="P159" s="14">
        <v>18</v>
      </c>
      <c r="Q159" s="14">
        <f t="shared" si="90"/>
        <v>102.4</v>
      </c>
      <c r="R159" s="14">
        <f t="shared" si="93"/>
        <v>68.26666666666668</v>
      </c>
      <c r="S159" s="14">
        <v>910</v>
      </c>
      <c r="T159" s="14"/>
      <c r="U159" s="14"/>
      <c r="V159" s="136">
        <f>770+730+3580</f>
        <v>5080</v>
      </c>
      <c r="W159" s="14"/>
      <c r="X159" s="89">
        <v>2.08</v>
      </c>
      <c r="Y159" s="39">
        <f t="shared" si="101"/>
        <v>3595.64</v>
      </c>
      <c r="Z159" s="14">
        <v>3569.5</v>
      </c>
      <c r="AA159" s="14">
        <v>26.14</v>
      </c>
      <c r="AB159" s="14"/>
      <c r="AC159" s="14">
        <v>28</v>
      </c>
      <c r="AD159" s="14">
        <f t="shared" si="102"/>
        <v>128.41571428571427</v>
      </c>
      <c r="AE159" s="14">
        <f t="shared" si="103"/>
        <v>85.61047619047618</v>
      </c>
      <c r="AF159" s="14">
        <v>905</v>
      </c>
      <c r="AG159" s="14"/>
      <c r="AH159" s="14"/>
      <c r="AI159" s="136">
        <f>3220</f>
        <v>3220</v>
      </c>
      <c r="AJ159" s="14"/>
      <c r="AK159" s="55">
        <v>1.34</v>
      </c>
      <c r="AL159" s="39">
        <v>7010</v>
      </c>
      <c r="AM159" s="14"/>
      <c r="AN159" s="14"/>
      <c r="AO159" s="14">
        <v>1605</v>
      </c>
      <c r="AP159" s="14">
        <v>250</v>
      </c>
      <c r="AQ159" s="14">
        <f t="shared" si="97"/>
        <v>250</v>
      </c>
      <c r="AR159" s="14"/>
      <c r="AS159" s="14"/>
      <c r="AT159" s="14"/>
      <c r="AU159" s="18">
        <f t="shared" si="98"/>
        <v>5405</v>
      </c>
      <c r="AV159" s="307">
        <v>0.2</v>
      </c>
      <c r="AW159" s="14">
        <v>2008</v>
      </c>
      <c r="AX159" s="304">
        <v>45</v>
      </c>
      <c r="AY159" s="304">
        <v>49.9</v>
      </c>
      <c r="AZ159" s="304">
        <v>5.1</v>
      </c>
      <c r="BA159" s="304">
        <v>34.39</v>
      </c>
      <c r="BB159" s="304">
        <v>5.98</v>
      </c>
      <c r="BC159" s="304">
        <v>28.07</v>
      </c>
      <c r="BD159" s="304">
        <v>25.25</v>
      </c>
      <c r="BE159" s="304">
        <v>2.66</v>
      </c>
      <c r="BF159" s="304">
        <v>2.49</v>
      </c>
      <c r="BG159" s="89">
        <v>1.16</v>
      </c>
      <c r="BH159" s="39">
        <f>(26523.28+33427.15+49393.01)/3</f>
        <v>36447.81333333333</v>
      </c>
      <c r="BI159" s="14">
        <f>(27012.62+31390.45+35971.96+27922+38484.62)/5</f>
        <v>32156.329999999998</v>
      </c>
      <c r="BJ159" s="14"/>
      <c r="BK159" s="14">
        <f>(157+156.2+157.8)/3</f>
        <v>157</v>
      </c>
      <c r="BL159" s="14">
        <f>(163.3+159.6+155.5+163+147.2)/5</f>
        <v>157.71999999999997</v>
      </c>
      <c r="BM159" s="14"/>
      <c r="BN159" s="14">
        <f t="shared" si="99"/>
        <v>1846.2</v>
      </c>
      <c r="BO159" s="14">
        <v>1846.2</v>
      </c>
      <c r="BP159" s="18"/>
      <c r="BQ159" s="316">
        <v>7.81</v>
      </c>
      <c r="BR159" s="317">
        <v>13.5</v>
      </c>
      <c r="BS159" s="317"/>
      <c r="BT159" s="317">
        <v>27.21</v>
      </c>
      <c r="BU159" s="317">
        <v>37.39</v>
      </c>
      <c r="BV159" s="317"/>
      <c r="BW159" s="317">
        <v>4.99</v>
      </c>
      <c r="BX159" s="317">
        <v>4.01</v>
      </c>
      <c r="BY159" s="317"/>
      <c r="BZ159" s="317">
        <v>11.9</v>
      </c>
      <c r="CA159" s="317">
        <v>9.53</v>
      </c>
      <c r="CB159" s="318"/>
      <c r="CC159" s="316">
        <v>7.52</v>
      </c>
      <c r="CD159" s="317">
        <v>9.08</v>
      </c>
      <c r="CE159" s="317">
        <v>14.9</v>
      </c>
      <c r="CF159" s="317">
        <v>8.5</v>
      </c>
      <c r="CG159" s="317">
        <v>0.044</v>
      </c>
      <c r="CH159" s="317">
        <v>0.023</v>
      </c>
      <c r="CI159" s="326">
        <v>0</v>
      </c>
      <c r="CJ159" s="327">
        <v>0.045</v>
      </c>
    </row>
    <row r="160" spans="1:88" ht="16.5" customHeight="1" thickBot="1">
      <c r="A160" s="593"/>
      <c r="B160" s="4" t="s">
        <v>30</v>
      </c>
      <c r="C160" s="40">
        <v>7161.44</v>
      </c>
      <c r="D160" s="15">
        <v>27</v>
      </c>
      <c r="E160" s="15">
        <f t="shared" si="96"/>
        <v>1311.18</v>
      </c>
      <c r="F160" s="15">
        <v>1191.98</v>
      </c>
      <c r="G160" s="15">
        <v>119.2</v>
      </c>
      <c r="H160" s="15">
        <v>144</v>
      </c>
      <c r="I160" s="15">
        <v>144</v>
      </c>
      <c r="J160" s="15"/>
      <c r="K160" s="680"/>
      <c r="L160" s="40">
        <f t="shared" si="100"/>
        <v>3512.7</v>
      </c>
      <c r="M160" s="15">
        <v>3512.7</v>
      </c>
      <c r="N160" s="15">
        <v>0</v>
      </c>
      <c r="O160" s="15"/>
      <c r="P160" s="15">
        <v>31</v>
      </c>
      <c r="Q160" s="15">
        <f t="shared" si="90"/>
        <v>113.31290322580645</v>
      </c>
      <c r="R160" s="15">
        <f t="shared" si="93"/>
        <v>75.54193548387097</v>
      </c>
      <c r="S160" s="15">
        <v>895</v>
      </c>
      <c r="T160" s="15"/>
      <c r="U160" s="15"/>
      <c r="V160" s="246">
        <v>9755</v>
      </c>
      <c r="W160" s="15"/>
      <c r="X160" s="302">
        <v>2.05</v>
      </c>
      <c r="Y160" s="40">
        <f t="shared" si="101"/>
        <v>4433.82</v>
      </c>
      <c r="Z160" s="15">
        <v>4290</v>
      </c>
      <c r="AA160" s="15">
        <v>143.82</v>
      </c>
      <c r="AB160" s="15"/>
      <c r="AC160" s="15">
        <v>31</v>
      </c>
      <c r="AD160" s="15">
        <f t="shared" si="102"/>
        <v>143.02645161290323</v>
      </c>
      <c r="AE160" s="15">
        <f t="shared" si="103"/>
        <v>95.35096774193549</v>
      </c>
      <c r="AF160" s="15">
        <v>922</v>
      </c>
      <c r="AG160" s="15"/>
      <c r="AH160" s="15"/>
      <c r="AI160" s="246">
        <v>3650</v>
      </c>
      <c r="AJ160" s="15"/>
      <c r="AK160" s="71">
        <v>2.55</v>
      </c>
      <c r="AL160" s="40">
        <v>8273</v>
      </c>
      <c r="AM160" s="15"/>
      <c r="AN160" s="15"/>
      <c r="AO160" s="15">
        <v>2788</v>
      </c>
      <c r="AP160" s="15">
        <v>458</v>
      </c>
      <c r="AQ160" s="15">
        <f t="shared" si="97"/>
        <v>458</v>
      </c>
      <c r="AR160" s="15"/>
      <c r="AS160" s="15"/>
      <c r="AT160" s="15"/>
      <c r="AU160" s="19">
        <f t="shared" si="98"/>
        <v>5485</v>
      </c>
      <c r="AV160" s="308">
        <v>0.19</v>
      </c>
      <c r="AW160" s="15">
        <v>1901</v>
      </c>
      <c r="AX160" s="309">
        <v>51</v>
      </c>
      <c r="AY160" s="309">
        <v>45.52</v>
      </c>
      <c r="AZ160" s="309">
        <v>3.48</v>
      </c>
      <c r="BA160" s="309">
        <v>20.38</v>
      </c>
      <c r="BB160" s="309">
        <v>5.38</v>
      </c>
      <c r="BC160" s="309">
        <v>29.68</v>
      </c>
      <c r="BD160" s="309">
        <v>38.08</v>
      </c>
      <c r="BE160" s="309">
        <v>2.78</v>
      </c>
      <c r="BF160" s="309">
        <v>1.2</v>
      </c>
      <c r="BG160" s="302">
        <v>2.5</v>
      </c>
      <c r="BH160" s="40">
        <f>(30335.06+33234.65+27732.87+25030.3)/4</f>
        <v>29083.22</v>
      </c>
      <c r="BI160" s="15">
        <f>(24809.35+27240.86+27474.53+39413.83)/4</f>
        <v>29734.642499999998</v>
      </c>
      <c r="BJ160" s="15"/>
      <c r="BK160" s="15">
        <f>(147+152.8+155+171.8)/4</f>
        <v>156.65</v>
      </c>
      <c r="BL160" s="15">
        <f>(151+141.7+155+155.1)/4</f>
        <v>150.7</v>
      </c>
      <c r="BM160" s="15"/>
      <c r="BN160" s="15">
        <f t="shared" si="99"/>
        <v>1998</v>
      </c>
      <c r="BO160" s="15">
        <v>1998</v>
      </c>
      <c r="BP160" s="19"/>
      <c r="BQ160" s="319">
        <v>11.9</v>
      </c>
      <c r="BR160" s="320">
        <v>12.22</v>
      </c>
      <c r="BS160" s="320"/>
      <c r="BT160" s="320">
        <v>47.06</v>
      </c>
      <c r="BU160" s="320">
        <v>51.64</v>
      </c>
      <c r="BV160" s="320"/>
      <c r="BW160" s="320">
        <v>4.88</v>
      </c>
      <c r="BX160" s="320">
        <v>4.62</v>
      </c>
      <c r="BY160" s="320"/>
      <c r="BZ160" s="320">
        <v>9.21</v>
      </c>
      <c r="CA160" s="320">
        <v>8.95</v>
      </c>
      <c r="CB160" s="321"/>
      <c r="CC160" s="319">
        <v>6.81</v>
      </c>
      <c r="CD160" s="320">
        <v>4.35</v>
      </c>
      <c r="CE160" s="320">
        <v>12.02</v>
      </c>
      <c r="CF160" s="320">
        <v>4.5</v>
      </c>
      <c r="CG160" s="320">
        <v>0.028</v>
      </c>
      <c r="CH160" s="320">
        <v>0</v>
      </c>
      <c r="CI160" s="328">
        <v>0</v>
      </c>
      <c r="CJ160" s="329">
        <v>0.037</v>
      </c>
    </row>
    <row r="161" spans="1:88" ht="16.5" customHeight="1">
      <c r="A161" s="590" t="s">
        <v>61</v>
      </c>
      <c r="B161" s="2" t="s">
        <v>48</v>
      </c>
      <c r="C161" s="52">
        <v>25010</v>
      </c>
      <c r="D161" s="47">
        <v>290</v>
      </c>
      <c r="E161" s="47">
        <v>2452</v>
      </c>
      <c r="F161" s="47">
        <v>2085</v>
      </c>
      <c r="G161" s="47">
        <v>367</v>
      </c>
      <c r="H161" s="47">
        <f>SUM(H162:H173)</f>
        <v>1996</v>
      </c>
      <c r="I161" s="47">
        <f>SUM(I162:I173)</f>
        <v>1996</v>
      </c>
      <c r="J161" s="330"/>
      <c r="K161" s="331"/>
      <c r="L161" s="49">
        <v>24835</v>
      </c>
      <c r="M161" s="50">
        <v>22839</v>
      </c>
      <c r="N161" s="50">
        <v>1996</v>
      </c>
      <c r="O161" s="50"/>
      <c r="P161" s="50">
        <v>331</v>
      </c>
      <c r="Q161" s="50">
        <v>75.03</v>
      </c>
      <c r="R161" s="50">
        <v>75.26</v>
      </c>
      <c r="S161" s="50">
        <v>1015</v>
      </c>
      <c r="T161" s="281"/>
      <c r="U161" s="296"/>
      <c r="V161" s="296">
        <v>11363</v>
      </c>
      <c r="W161" s="296">
        <v>209741</v>
      </c>
      <c r="X161" s="297">
        <v>3.5</v>
      </c>
      <c r="Y161" s="613"/>
      <c r="Z161" s="344"/>
      <c r="AA161" s="344"/>
      <c r="AB161" s="344"/>
      <c r="AC161" s="344"/>
      <c r="AD161" s="344"/>
      <c r="AE161" s="344"/>
      <c r="AF161" s="344"/>
      <c r="AG161" s="344"/>
      <c r="AH161" s="344"/>
      <c r="AI161" s="344"/>
      <c r="AJ161" s="344"/>
      <c r="AK161" s="345"/>
      <c r="AL161" s="49">
        <v>1182</v>
      </c>
      <c r="AM161" s="50"/>
      <c r="AN161" s="50"/>
      <c r="AO161" s="50"/>
      <c r="AP161" s="50"/>
      <c r="AQ161" s="50"/>
      <c r="AR161" s="50"/>
      <c r="AS161" s="50"/>
      <c r="AT161" s="50"/>
      <c r="AU161" s="51">
        <v>1182</v>
      </c>
      <c r="AV161" s="37">
        <v>0.24</v>
      </c>
      <c r="AW161" s="47">
        <v>3387</v>
      </c>
      <c r="AX161" s="90">
        <v>32.4</v>
      </c>
      <c r="AY161" s="90">
        <v>58.8</v>
      </c>
      <c r="AZ161" s="90">
        <v>8.8</v>
      </c>
      <c r="BA161" s="90">
        <v>36.6</v>
      </c>
      <c r="BB161" s="90">
        <v>2.7</v>
      </c>
      <c r="BC161" s="90">
        <v>33.6</v>
      </c>
      <c r="BD161" s="90">
        <v>20.4</v>
      </c>
      <c r="BE161" s="90">
        <v>4.1</v>
      </c>
      <c r="BF161" s="90">
        <v>2.1</v>
      </c>
      <c r="BG161" s="88"/>
      <c r="BH161" s="52">
        <v>24370</v>
      </c>
      <c r="BI161" s="47"/>
      <c r="BJ161" s="47"/>
      <c r="BK161" s="47">
        <v>162</v>
      </c>
      <c r="BL161" s="47"/>
      <c r="BM161" s="47"/>
      <c r="BN161" s="47">
        <f>SUM(BN162:BN173)</f>
        <v>1967.7799999999997</v>
      </c>
      <c r="BO161" s="47"/>
      <c r="BP161" s="48">
        <f>SUM(BP162:BP173)</f>
        <v>1967.7799999999997</v>
      </c>
      <c r="BQ161" s="23">
        <v>8.11</v>
      </c>
      <c r="BR161" s="24"/>
      <c r="BS161" s="24"/>
      <c r="BT161" s="24">
        <v>52.11</v>
      </c>
      <c r="BU161" s="24"/>
      <c r="BV161" s="24"/>
      <c r="BW161" s="24">
        <v>1.15</v>
      </c>
      <c r="BX161" s="24"/>
      <c r="BY161" s="24"/>
      <c r="BZ161" s="24">
        <v>10.2</v>
      </c>
      <c r="CA161" s="24"/>
      <c r="CB161" s="25"/>
      <c r="CC161" s="23"/>
      <c r="CD161" s="24"/>
      <c r="CE161" s="24"/>
      <c r="CF161" s="24"/>
      <c r="CG161" s="24"/>
      <c r="CH161" s="24"/>
      <c r="CI161" s="24"/>
      <c r="CJ161" s="25"/>
    </row>
    <row r="162" spans="1:88" ht="16.5" customHeight="1">
      <c r="A162" s="591"/>
      <c r="B162" s="3" t="s">
        <v>19</v>
      </c>
      <c r="C162" s="39">
        <v>2098</v>
      </c>
      <c r="D162" s="14">
        <v>26</v>
      </c>
      <c r="E162" s="14">
        <v>250</v>
      </c>
      <c r="F162" s="14">
        <v>205</v>
      </c>
      <c r="G162" s="14">
        <v>45</v>
      </c>
      <c r="H162" s="332">
        <v>0</v>
      </c>
      <c r="I162" s="332"/>
      <c r="J162" s="332"/>
      <c r="K162" s="226"/>
      <c r="L162" s="39">
        <v>2165</v>
      </c>
      <c r="M162" s="14">
        <v>2165</v>
      </c>
      <c r="N162" s="332"/>
      <c r="O162" s="332"/>
      <c r="P162" s="14">
        <v>31</v>
      </c>
      <c r="Q162" s="14">
        <v>69.84</v>
      </c>
      <c r="R162" s="14"/>
      <c r="S162" s="14">
        <v>1013</v>
      </c>
      <c r="T162" s="14"/>
      <c r="U162" s="298"/>
      <c r="V162" s="298"/>
      <c r="W162" s="298">
        <v>45840</v>
      </c>
      <c r="X162" s="55">
        <v>3.1</v>
      </c>
      <c r="Y162" s="95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152"/>
      <c r="AL162" s="38">
        <v>112</v>
      </c>
      <c r="AM162" s="13"/>
      <c r="AN162" s="13"/>
      <c r="AO162" s="13"/>
      <c r="AP162" s="13"/>
      <c r="AQ162" s="13"/>
      <c r="AR162" s="13"/>
      <c r="AS162" s="13"/>
      <c r="AT162" s="13"/>
      <c r="AU162" s="17">
        <v>112</v>
      </c>
      <c r="AV162" s="35">
        <v>0.3</v>
      </c>
      <c r="AW162" s="13">
        <v>1900</v>
      </c>
      <c r="AX162" s="303">
        <v>42.1</v>
      </c>
      <c r="AY162" s="303">
        <v>49.5</v>
      </c>
      <c r="AZ162" s="303">
        <v>8.4</v>
      </c>
      <c r="BA162" s="303">
        <v>18.7</v>
      </c>
      <c r="BB162" s="303">
        <v>2.5</v>
      </c>
      <c r="BC162" s="303">
        <v>41.5</v>
      </c>
      <c r="BD162" s="303">
        <v>22.3</v>
      </c>
      <c r="BE162" s="303">
        <v>6</v>
      </c>
      <c r="BF162" s="303">
        <v>2.5</v>
      </c>
      <c r="BG162" s="300"/>
      <c r="BH162" s="13">
        <v>26178</v>
      </c>
      <c r="BI162" s="13"/>
      <c r="BJ162" s="13"/>
      <c r="BK162" s="13">
        <v>189</v>
      </c>
      <c r="BL162" s="13"/>
      <c r="BM162" s="13"/>
      <c r="BN162" s="13">
        <v>294.5</v>
      </c>
      <c r="BO162" s="13"/>
      <c r="BP162" s="17">
        <v>294.5</v>
      </c>
      <c r="BQ162" s="26">
        <v>9.99</v>
      </c>
      <c r="BR162" s="27"/>
      <c r="BS162" s="27"/>
      <c r="BT162" s="27">
        <v>41.82</v>
      </c>
      <c r="BU162" s="27"/>
      <c r="BV162" s="27"/>
      <c r="BW162" s="27">
        <v>0.97</v>
      </c>
      <c r="BX162" s="27"/>
      <c r="BY162" s="27"/>
      <c r="BZ162" s="27">
        <v>12.24</v>
      </c>
      <c r="CA162" s="27"/>
      <c r="CB162" s="44"/>
      <c r="CC162" s="28"/>
      <c r="CD162" s="29"/>
      <c r="CE162" s="29"/>
      <c r="CF162" s="29"/>
      <c r="CG162" s="78"/>
      <c r="CH162" s="29"/>
      <c r="CI162" s="78"/>
      <c r="CJ162" s="79"/>
    </row>
    <row r="163" spans="1:88" ht="16.5" customHeight="1">
      <c r="A163" s="591"/>
      <c r="B163" s="3" t="s">
        <v>20</v>
      </c>
      <c r="C163" s="39">
        <v>1230</v>
      </c>
      <c r="D163" s="14">
        <v>25</v>
      </c>
      <c r="E163" s="14">
        <v>113</v>
      </c>
      <c r="F163" s="14">
        <v>90</v>
      </c>
      <c r="G163" s="14">
        <v>23</v>
      </c>
      <c r="H163" s="332">
        <v>0</v>
      </c>
      <c r="I163" s="332"/>
      <c r="J163" s="332"/>
      <c r="K163" s="226"/>
      <c r="L163" s="39">
        <v>1221</v>
      </c>
      <c r="M163" s="14">
        <v>1221</v>
      </c>
      <c r="N163" s="332"/>
      <c r="O163" s="332"/>
      <c r="P163" s="14">
        <v>21</v>
      </c>
      <c r="Q163" s="14">
        <v>58.14</v>
      </c>
      <c r="R163" s="14"/>
      <c r="S163" s="14">
        <v>1015</v>
      </c>
      <c r="T163" s="14"/>
      <c r="U163" s="298"/>
      <c r="V163" s="298">
        <v>1420</v>
      </c>
      <c r="W163" s="298">
        <v>42564</v>
      </c>
      <c r="X163" s="55">
        <v>3.3</v>
      </c>
      <c r="Y163" s="95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152"/>
      <c r="AL163" s="39">
        <v>76</v>
      </c>
      <c r="AM163" s="14"/>
      <c r="AN163" s="14"/>
      <c r="AO163" s="14"/>
      <c r="AP163" s="14"/>
      <c r="AQ163" s="14"/>
      <c r="AR163" s="14"/>
      <c r="AS163" s="14"/>
      <c r="AT163" s="14"/>
      <c r="AU163" s="18">
        <v>76</v>
      </c>
      <c r="AV163" s="36">
        <v>0.25</v>
      </c>
      <c r="AW163" s="14">
        <v>3200</v>
      </c>
      <c r="AX163" s="304">
        <v>30.7</v>
      </c>
      <c r="AY163" s="304">
        <v>61.4</v>
      </c>
      <c r="AZ163" s="304">
        <v>7.9</v>
      </c>
      <c r="BA163" s="304">
        <v>30.6</v>
      </c>
      <c r="BB163" s="304">
        <v>3.4</v>
      </c>
      <c r="BC163" s="304">
        <v>58</v>
      </c>
      <c r="BD163" s="304">
        <v>5.7</v>
      </c>
      <c r="BE163" s="304">
        <v>2.3</v>
      </c>
      <c r="BF163" s="304"/>
      <c r="BG163" s="89"/>
      <c r="BH163" s="14">
        <v>21994</v>
      </c>
      <c r="BI163" s="14"/>
      <c r="BJ163" s="14"/>
      <c r="BK163" s="14">
        <v>188</v>
      </c>
      <c r="BL163" s="14"/>
      <c r="BM163" s="14"/>
      <c r="BN163" s="14">
        <v>199.5</v>
      </c>
      <c r="BO163" s="14"/>
      <c r="BP163" s="18">
        <v>199.5</v>
      </c>
      <c r="BQ163" s="28">
        <v>7.74</v>
      </c>
      <c r="BR163" s="29"/>
      <c r="BS163" s="29"/>
      <c r="BT163" s="29">
        <v>38.9</v>
      </c>
      <c r="BU163" s="29"/>
      <c r="BV163" s="29"/>
      <c r="BW163" s="29">
        <v>1.3</v>
      </c>
      <c r="BX163" s="29"/>
      <c r="BY163" s="29"/>
      <c r="BZ163" s="29">
        <v>11.6</v>
      </c>
      <c r="CA163" s="29"/>
      <c r="CB163" s="30"/>
      <c r="CC163" s="28"/>
      <c r="CD163" s="29"/>
      <c r="CE163" s="29"/>
      <c r="CF163" s="29"/>
      <c r="CG163" s="29"/>
      <c r="CH163" s="29"/>
      <c r="CI163" s="78"/>
      <c r="CJ163" s="79"/>
    </row>
    <row r="164" spans="1:88" ht="16.5" customHeight="1">
      <c r="A164" s="592"/>
      <c r="B164" s="3" t="s">
        <v>21</v>
      </c>
      <c r="C164" s="39">
        <v>1956</v>
      </c>
      <c r="D164" s="14">
        <v>28</v>
      </c>
      <c r="E164" s="14">
        <v>148</v>
      </c>
      <c r="F164" s="14">
        <v>117</v>
      </c>
      <c r="G164" s="14">
        <v>31</v>
      </c>
      <c r="H164" s="332">
        <v>0</v>
      </c>
      <c r="I164" s="332"/>
      <c r="J164" s="332"/>
      <c r="K164" s="226"/>
      <c r="L164" s="39">
        <v>1932</v>
      </c>
      <c r="M164" s="14">
        <v>1932</v>
      </c>
      <c r="N164" s="332"/>
      <c r="O164" s="332"/>
      <c r="P164" s="14">
        <v>31</v>
      </c>
      <c r="Q164" s="14">
        <v>62.32</v>
      </c>
      <c r="R164" s="14"/>
      <c r="S164" s="14">
        <v>1030</v>
      </c>
      <c r="T164" s="14"/>
      <c r="U164" s="298"/>
      <c r="V164" s="338"/>
      <c r="W164" s="298">
        <v>42312</v>
      </c>
      <c r="X164" s="55">
        <v>4.5</v>
      </c>
      <c r="Y164" s="95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152"/>
      <c r="AL164" s="39">
        <v>112</v>
      </c>
      <c r="AM164" s="14"/>
      <c r="AN164" s="14"/>
      <c r="AO164" s="14"/>
      <c r="AP164" s="14"/>
      <c r="AQ164" s="14"/>
      <c r="AR164" s="14"/>
      <c r="AS164" s="14"/>
      <c r="AT164" s="14"/>
      <c r="AU164" s="18">
        <v>112</v>
      </c>
      <c r="AV164" s="36">
        <v>0.2</v>
      </c>
      <c r="AW164" s="14">
        <v>4938</v>
      </c>
      <c r="AX164" s="304">
        <v>34.1</v>
      </c>
      <c r="AY164" s="304">
        <v>55.9</v>
      </c>
      <c r="AZ164" s="304">
        <v>10</v>
      </c>
      <c r="BA164" s="304">
        <v>55.3</v>
      </c>
      <c r="BB164" s="304">
        <v>3.5</v>
      </c>
      <c r="BC164" s="304">
        <v>25</v>
      </c>
      <c r="BD164" s="304">
        <v>14.5</v>
      </c>
      <c r="BE164" s="304">
        <v>1</v>
      </c>
      <c r="BF164" s="304">
        <v>0.7</v>
      </c>
      <c r="BG164" s="89"/>
      <c r="BH164" s="14">
        <v>30235</v>
      </c>
      <c r="BI164" s="14"/>
      <c r="BJ164" s="14"/>
      <c r="BK164" s="14">
        <v>166</v>
      </c>
      <c r="BL164" s="14"/>
      <c r="BM164" s="14"/>
      <c r="BN164" s="14">
        <v>91.3</v>
      </c>
      <c r="BO164" s="14"/>
      <c r="BP164" s="18">
        <v>91.3</v>
      </c>
      <c r="BQ164" s="28">
        <v>0.11</v>
      </c>
      <c r="BR164" s="29"/>
      <c r="BS164" s="29"/>
      <c r="BT164" s="29">
        <v>40.6</v>
      </c>
      <c r="BU164" s="29"/>
      <c r="BV164" s="29"/>
      <c r="BW164" s="29">
        <v>1.39</v>
      </c>
      <c r="BX164" s="29"/>
      <c r="BY164" s="29"/>
      <c r="BZ164" s="29">
        <v>9.3</v>
      </c>
      <c r="CA164" s="29"/>
      <c r="CB164" s="30"/>
      <c r="CC164" s="28"/>
      <c r="CD164" s="29"/>
      <c r="CE164" s="29"/>
      <c r="CF164" s="29"/>
      <c r="CG164" s="29"/>
      <c r="CH164" s="29"/>
      <c r="CI164" s="29"/>
      <c r="CJ164" s="79"/>
    </row>
    <row r="165" spans="1:88" ht="16.5" customHeight="1">
      <c r="A165" s="592"/>
      <c r="B165" s="3" t="s">
        <v>22</v>
      </c>
      <c r="C165" s="39">
        <v>1924</v>
      </c>
      <c r="D165" s="14">
        <v>24</v>
      </c>
      <c r="E165" s="14">
        <v>136</v>
      </c>
      <c r="F165" s="14">
        <v>105</v>
      </c>
      <c r="G165" s="14">
        <v>31</v>
      </c>
      <c r="H165" s="332">
        <v>87</v>
      </c>
      <c r="I165" s="14">
        <v>87</v>
      </c>
      <c r="J165" s="332"/>
      <c r="K165" s="226"/>
      <c r="L165" s="39">
        <v>1902</v>
      </c>
      <c r="M165" s="14">
        <v>1815</v>
      </c>
      <c r="N165" s="14">
        <v>87</v>
      </c>
      <c r="O165" s="332"/>
      <c r="P165" s="14">
        <v>30</v>
      </c>
      <c r="Q165" s="14">
        <v>63.4</v>
      </c>
      <c r="R165" s="14"/>
      <c r="S165" s="14">
        <v>1050</v>
      </c>
      <c r="T165" s="14"/>
      <c r="U165" s="298"/>
      <c r="V165" s="298">
        <v>634</v>
      </c>
      <c r="W165" s="298">
        <v>17936</v>
      </c>
      <c r="X165" s="55">
        <v>4.2</v>
      </c>
      <c r="Y165" s="95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152"/>
      <c r="AL165" s="39">
        <v>103</v>
      </c>
      <c r="AM165" s="14"/>
      <c r="AN165" s="14"/>
      <c r="AO165" s="14"/>
      <c r="AP165" s="14"/>
      <c r="AQ165" s="14"/>
      <c r="AR165" s="14"/>
      <c r="AS165" s="14"/>
      <c r="AT165" s="14"/>
      <c r="AU165" s="18">
        <v>103</v>
      </c>
      <c r="AV165" s="36">
        <v>0.25</v>
      </c>
      <c r="AW165" s="14">
        <v>3500</v>
      </c>
      <c r="AX165" s="304">
        <v>30.4</v>
      </c>
      <c r="AY165" s="304">
        <v>58.7</v>
      </c>
      <c r="AZ165" s="304">
        <v>10.4</v>
      </c>
      <c r="BA165" s="304">
        <v>36.5</v>
      </c>
      <c r="BB165" s="304">
        <v>3.1</v>
      </c>
      <c r="BC165" s="304">
        <v>35.9</v>
      </c>
      <c r="BD165" s="304">
        <v>21.4</v>
      </c>
      <c r="BE165" s="304">
        <v>2.1</v>
      </c>
      <c r="BF165" s="304">
        <v>1</v>
      </c>
      <c r="BG165" s="89"/>
      <c r="BH165" s="14">
        <v>31276</v>
      </c>
      <c r="BI165" s="14"/>
      <c r="BJ165" s="14"/>
      <c r="BK165" s="14">
        <v>154</v>
      </c>
      <c r="BL165" s="14"/>
      <c r="BM165" s="14"/>
      <c r="BN165" s="14">
        <v>171.05</v>
      </c>
      <c r="BO165" s="14"/>
      <c r="BP165" s="18">
        <v>171.05</v>
      </c>
      <c r="BQ165" s="28">
        <v>6.65</v>
      </c>
      <c r="BR165" s="29"/>
      <c r="BS165" s="29"/>
      <c r="BT165" s="29">
        <v>50.7</v>
      </c>
      <c r="BU165" s="29"/>
      <c r="BV165" s="29"/>
      <c r="BW165" s="29">
        <v>1.26</v>
      </c>
      <c r="BX165" s="29"/>
      <c r="BY165" s="29"/>
      <c r="BZ165" s="29">
        <v>11.1</v>
      </c>
      <c r="CA165" s="29"/>
      <c r="CB165" s="30"/>
      <c r="CC165" s="28"/>
      <c r="CD165" s="29"/>
      <c r="CE165" s="29"/>
      <c r="CF165" s="29"/>
      <c r="CG165" s="29"/>
      <c r="CH165" s="29"/>
      <c r="CI165" s="29"/>
      <c r="CJ165" s="79"/>
    </row>
    <row r="166" spans="1:88" ht="16.5" customHeight="1">
      <c r="A166" s="592"/>
      <c r="B166" s="3" t="s">
        <v>23</v>
      </c>
      <c r="C166" s="39">
        <v>1303</v>
      </c>
      <c r="D166" s="14">
        <v>17</v>
      </c>
      <c r="E166" s="14">
        <v>128</v>
      </c>
      <c r="F166" s="14">
        <v>106</v>
      </c>
      <c r="G166" s="14">
        <v>22</v>
      </c>
      <c r="H166" s="332">
        <v>64</v>
      </c>
      <c r="I166" s="14">
        <v>64</v>
      </c>
      <c r="J166" s="332"/>
      <c r="K166" s="226"/>
      <c r="L166" s="39">
        <v>1292</v>
      </c>
      <c r="M166" s="14">
        <v>1228</v>
      </c>
      <c r="N166" s="14">
        <v>64</v>
      </c>
      <c r="O166" s="332"/>
      <c r="P166" s="14">
        <v>21</v>
      </c>
      <c r="Q166" s="14">
        <v>61.52</v>
      </c>
      <c r="R166" s="14"/>
      <c r="S166" s="14">
        <v>991</v>
      </c>
      <c r="T166" s="14"/>
      <c r="U166" s="298"/>
      <c r="V166" s="298">
        <v>843</v>
      </c>
      <c r="W166" s="298">
        <v>11623</v>
      </c>
      <c r="X166" s="55">
        <v>3.8</v>
      </c>
      <c r="Y166" s="95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152"/>
      <c r="AL166" s="39">
        <v>72</v>
      </c>
      <c r="AM166" s="14"/>
      <c r="AN166" s="14"/>
      <c r="AO166" s="14"/>
      <c r="AP166" s="14"/>
      <c r="AQ166" s="14"/>
      <c r="AR166" s="14"/>
      <c r="AS166" s="14"/>
      <c r="AT166" s="14"/>
      <c r="AU166" s="18">
        <v>72</v>
      </c>
      <c r="AV166" s="36">
        <v>0.2</v>
      </c>
      <c r="AW166" s="14">
        <v>4223</v>
      </c>
      <c r="AX166" s="304">
        <v>35.9</v>
      </c>
      <c r="AY166" s="304">
        <v>55</v>
      </c>
      <c r="AZ166" s="304">
        <v>9.1</v>
      </c>
      <c r="BA166" s="304">
        <v>63.5</v>
      </c>
      <c r="BB166" s="304">
        <v>1</v>
      </c>
      <c r="BC166" s="304">
        <v>12</v>
      </c>
      <c r="BD166" s="304">
        <v>14.5</v>
      </c>
      <c r="BE166" s="304">
        <v>6</v>
      </c>
      <c r="BF166" s="304">
        <v>3</v>
      </c>
      <c r="BG166" s="89"/>
      <c r="BH166" s="14">
        <v>26557</v>
      </c>
      <c r="BI166" s="14"/>
      <c r="BJ166" s="14"/>
      <c r="BK166" s="14">
        <v>163</v>
      </c>
      <c r="BL166" s="14"/>
      <c r="BM166" s="14"/>
      <c r="BN166" s="14">
        <v>122.04</v>
      </c>
      <c r="BO166" s="14"/>
      <c r="BP166" s="18">
        <v>122.04</v>
      </c>
      <c r="BQ166" s="28">
        <v>6.31</v>
      </c>
      <c r="BR166" s="29"/>
      <c r="BS166" s="29"/>
      <c r="BT166" s="29">
        <v>47.1</v>
      </c>
      <c r="BU166" s="29"/>
      <c r="BV166" s="29"/>
      <c r="BW166" s="29">
        <v>1.69</v>
      </c>
      <c r="BX166" s="29"/>
      <c r="BY166" s="29"/>
      <c r="BZ166" s="29">
        <v>10.8</v>
      </c>
      <c r="CA166" s="29"/>
      <c r="CB166" s="30"/>
      <c r="CC166" s="28"/>
      <c r="CD166" s="29"/>
      <c r="CE166" s="29"/>
      <c r="CF166" s="29"/>
      <c r="CG166" s="29"/>
      <c r="CH166" s="29"/>
      <c r="CI166" s="29"/>
      <c r="CJ166" s="79"/>
    </row>
    <row r="167" spans="1:88" ht="16.5" customHeight="1">
      <c r="A167" s="592"/>
      <c r="B167" s="3" t="s">
        <v>24</v>
      </c>
      <c r="C167" s="39">
        <v>2556</v>
      </c>
      <c r="D167" s="14">
        <v>26</v>
      </c>
      <c r="E167" s="14">
        <v>179</v>
      </c>
      <c r="F167" s="14">
        <v>156</v>
      </c>
      <c r="G167" s="14">
        <v>23</v>
      </c>
      <c r="H167" s="332">
        <v>200</v>
      </c>
      <c r="I167" s="14">
        <v>200</v>
      </c>
      <c r="J167" s="332"/>
      <c r="K167" s="226"/>
      <c r="L167" s="39">
        <v>2411</v>
      </c>
      <c r="M167" s="14">
        <v>2211</v>
      </c>
      <c r="N167" s="14">
        <v>200</v>
      </c>
      <c r="O167" s="332"/>
      <c r="P167" s="14">
        <v>30</v>
      </c>
      <c r="Q167" s="14">
        <v>80.37</v>
      </c>
      <c r="R167" s="14"/>
      <c r="S167" s="14">
        <v>997</v>
      </c>
      <c r="T167" s="14"/>
      <c r="U167" s="298"/>
      <c r="V167" s="298">
        <v>685</v>
      </c>
      <c r="W167" s="298">
        <v>746</v>
      </c>
      <c r="X167" s="55">
        <v>4</v>
      </c>
      <c r="Y167" s="95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152"/>
      <c r="AL167" s="39">
        <v>108</v>
      </c>
      <c r="AM167" s="14"/>
      <c r="AN167" s="14"/>
      <c r="AO167" s="14"/>
      <c r="AP167" s="14"/>
      <c r="AQ167" s="14"/>
      <c r="AR167" s="14"/>
      <c r="AS167" s="14"/>
      <c r="AT167" s="14"/>
      <c r="AU167" s="18">
        <v>108</v>
      </c>
      <c r="AV167" s="36">
        <v>0.22</v>
      </c>
      <c r="AW167" s="14">
        <v>3950</v>
      </c>
      <c r="AX167" s="304">
        <v>30.6</v>
      </c>
      <c r="AY167" s="304">
        <v>60.4</v>
      </c>
      <c r="AZ167" s="304">
        <v>9</v>
      </c>
      <c r="BA167" s="304">
        <v>36.6</v>
      </c>
      <c r="BB167" s="304">
        <v>3.2</v>
      </c>
      <c r="BC167" s="304">
        <v>38.4</v>
      </c>
      <c r="BD167" s="304">
        <v>16.3</v>
      </c>
      <c r="BE167" s="304">
        <v>3.6</v>
      </c>
      <c r="BF167" s="304">
        <v>1.9</v>
      </c>
      <c r="BG167" s="89"/>
      <c r="BH167" s="14">
        <v>24860</v>
      </c>
      <c r="BI167" s="14"/>
      <c r="BJ167" s="14"/>
      <c r="BK167" s="14">
        <v>149</v>
      </c>
      <c r="BL167" s="14"/>
      <c r="BM167" s="14"/>
      <c r="BN167" s="14">
        <v>187.4</v>
      </c>
      <c r="BO167" s="14"/>
      <c r="BP167" s="18">
        <v>187.4</v>
      </c>
      <c r="BQ167" s="28">
        <v>6.66</v>
      </c>
      <c r="BR167" s="29"/>
      <c r="BS167" s="29"/>
      <c r="BT167" s="29">
        <v>46.9</v>
      </c>
      <c r="BU167" s="29"/>
      <c r="BV167" s="29"/>
      <c r="BW167" s="29">
        <v>1.38</v>
      </c>
      <c r="BX167" s="29"/>
      <c r="BY167" s="29"/>
      <c r="BZ167" s="29">
        <v>9.75</v>
      </c>
      <c r="CA167" s="29"/>
      <c r="CB167" s="30"/>
      <c r="CC167" s="28"/>
      <c r="CD167" s="29"/>
      <c r="CE167" s="29"/>
      <c r="CF167" s="29"/>
      <c r="CG167" s="29"/>
      <c r="CH167" s="29"/>
      <c r="CI167" s="29"/>
      <c r="CJ167" s="79"/>
    </row>
    <row r="168" spans="1:88" ht="16.5" customHeight="1">
      <c r="A168" s="592"/>
      <c r="B168" s="3" t="s">
        <v>25</v>
      </c>
      <c r="C168" s="39">
        <v>2336</v>
      </c>
      <c r="D168" s="14">
        <v>27</v>
      </c>
      <c r="E168" s="14">
        <v>215</v>
      </c>
      <c r="F168" s="14">
        <v>179</v>
      </c>
      <c r="G168" s="14">
        <v>36</v>
      </c>
      <c r="H168" s="332">
        <v>245</v>
      </c>
      <c r="I168" s="14">
        <v>245</v>
      </c>
      <c r="J168" s="332"/>
      <c r="K168" s="226"/>
      <c r="L168" s="39">
        <v>2332</v>
      </c>
      <c r="M168" s="14">
        <v>2087</v>
      </c>
      <c r="N168" s="14">
        <v>245</v>
      </c>
      <c r="O168" s="332"/>
      <c r="P168" s="14">
        <v>31</v>
      </c>
      <c r="Q168" s="14">
        <v>75.22</v>
      </c>
      <c r="R168" s="14"/>
      <c r="S168" s="14">
        <v>1004</v>
      </c>
      <c r="T168" s="14"/>
      <c r="U168" s="298"/>
      <c r="V168" s="298">
        <v>1288</v>
      </c>
      <c r="W168" s="338"/>
      <c r="X168" s="55">
        <v>3</v>
      </c>
      <c r="Y168" s="95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152"/>
      <c r="AL168" s="39">
        <v>112</v>
      </c>
      <c r="AM168" s="14"/>
      <c r="AN168" s="14"/>
      <c r="AO168" s="14"/>
      <c r="AP168" s="14"/>
      <c r="AQ168" s="14"/>
      <c r="AR168" s="14"/>
      <c r="AS168" s="14"/>
      <c r="AT168" s="14"/>
      <c r="AU168" s="18">
        <v>112</v>
      </c>
      <c r="AV168" s="36">
        <v>0.29</v>
      </c>
      <c r="AW168" s="14">
        <v>3170</v>
      </c>
      <c r="AX168" s="304">
        <v>32.7</v>
      </c>
      <c r="AY168" s="304">
        <v>60.4</v>
      </c>
      <c r="AZ168" s="304">
        <v>6.9</v>
      </c>
      <c r="BA168" s="304">
        <v>32.4</v>
      </c>
      <c r="BB168" s="304">
        <v>2.1</v>
      </c>
      <c r="BC168" s="304">
        <v>33.7</v>
      </c>
      <c r="BD168" s="304">
        <v>25.1</v>
      </c>
      <c r="BE168" s="304">
        <v>4.3</v>
      </c>
      <c r="BF168" s="304">
        <v>2.4</v>
      </c>
      <c r="BG168" s="89"/>
      <c r="BH168" s="14">
        <v>24491</v>
      </c>
      <c r="BI168" s="14"/>
      <c r="BJ168" s="14"/>
      <c r="BK168" s="14">
        <v>146</v>
      </c>
      <c r="BL168" s="14"/>
      <c r="BM168" s="14"/>
      <c r="BN168" s="14">
        <v>221.7</v>
      </c>
      <c r="BO168" s="14"/>
      <c r="BP168" s="18">
        <v>221.7</v>
      </c>
      <c r="BQ168" s="28">
        <v>8.89</v>
      </c>
      <c r="BR168" s="29"/>
      <c r="BS168" s="29"/>
      <c r="BT168" s="29">
        <v>50.6</v>
      </c>
      <c r="BU168" s="29"/>
      <c r="BV168" s="29"/>
      <c r="BW168" s="29">
        <v>0.97</v>
      </c>
      <c r="BX168" s="29"/>
      <c r="BY168" s="29"/>
      <c r="BZ168" s="29">
        <v>9.5</v>
      </c>
      <c r="CA168" s="29"/>
      <c r="CB168" s="30"/>
      <c r="CC168" s="28"/>
      <c r="CD168" s="29"/>
      <c r="CE168" s="29"/>
      <c r="CF168" s="29"/>
      <c r="CG168" s="29"/>
      <c r="CH168" s="29"/>
      <c r="CI168" s="29"/>
      <c r="CJ168" s="79"/>
    </row>
    <row r="169" spans="1:88" ht="16.5" customHeight="1">
      <c r="A169" s="592"/>
      <c r="B169" s="3" t="s">
        <v>26</v>
      </c>
      <c r="C169" s="39">
        <v>1961</v>
      </c>
      <c r="D169" s="14">
        <v>22</v>
      </c>
      <c r="E169" s="14">
        <v>227</v>
      </c>
      <c r="F169" s="14">
        <v>194</v>
      </c>
      <c r="G169" s="14">
        <v>33</v>
      </c>
      <c r="H169" s="332">
        <v>210</v>
      </c>
      <c r="I169" s="14">
        <v>210</v>
      </c>
      <c r="J169" s="332"/>
      <c r="K169" s="226"/>
      <c r="L169" s="39">
        <v>1993</v>
      </c>
      <c r="M169" s="14">
        <v>1783</v>
      </c>
      <c r="N169" s="14">
        <v>210</v>
      </c>
      <c r="O169" s="332"/>
      <c r="P169" s="14">
        <v>24</v>
      </c>
      <c r="Q169" s="14">
        <v>83.04</v>
      </c>
      <c r="R169" s="14"/>
      <c r="S169" s="14">
        <v>1022</v>
      </c>
      <c r="T169" s="14"/>
      <c r="U169" s="298"/>
      <c r="V169" s="298">
        <v>1124</v>
      </c>
      <c r="W169" s="298">
        <v>8760</v>
      </c>
      <c r="X169" s="55">
        <v>4.5</v>
      </c>
      <c r="Y169" s="95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152"/>
      <c r="AL169" s="39">
        <v>83</v>
      </c>
      <c r="AM169" s="14"/>
      <c r="AN169" s="14"/>
      <c r="AO169" s="14"/>
      <c r="AP169" s="14"/>
      <c r="AQ169" s="14"/>
      <c r="AR169" s="14"/>
      <c r="AS169" s="14"/>
      <c r="AT169" s="14"/>
      <c r="AU169" s="18">
        <v>83</v>
      </c>
      <c r="AV169" s="36">
        <v>0.27</v>
      </c>
      <c r="AW169" s="14">
        <v>3020</v>
      </c>
      <c r="AX169" s="304">
        <v>32.9</v>
      </c>
      <c r="AY169" s="304">
        <v>58.9</v>
      </c>
      <c r="AZ169" s="304">
        <v>8.2</v>
      </c>
      <c r="BA169" s="304">
        <v>34.2</v>
      </c>
      <c r="BB169" s="304">
        <v>2.6</v>
      </c>
      <c r="BC169" s="304">
        <v>31.7</v>
      </c>
      <c r="BD169" s="304">
        <v>23.9</v>
      </c>
      <c r="BE169" s="304">
        <v>5.6</v>
      </c>
      <c r="BF169" s="304">
        <v>2</v>
      </c>
      <c r="BG169" s="89"/>
      <c r="BH169" s="14">
        <v>24835</v>
      </c>
      <c r="BI169" s="14"/>
      <c r="BJ169" s="14"/>
      <c r="BK169" s="14">
        <v>147</v>
      </c>
      <c r="BL169" s="14"/>
      <c r="BM169" s="14"/>
      <c r="BN169" s="14">
        <v>166.56</v>
      </c>
      <c r="BO169" s="14"/>
      <c r="BP169" s="18">
        <v>166.56</v>
      </c>
      <c r="BQ169" s="28">
        <v>8.77</v>
      </c>
      <c r="BR169" s="29"/>
      <c r="BS169" s="29"/>
      <c r="BT169" s="29">
        <v>72.7</v>
      </c>
      <c r="BU169" s="29"/>
      <c r="BV169" s="29"/>
      <c r="BW169" s="29">
        <v>0.97</v>
      </c>
      <c r="BX169" s="29"/>
      <c r="BY169" s="29"/>
      <c r="BZ169" s="29">
        <v>9.9</v>
      </c>
      <c r="CA169" s="29"/>
      <c r="CB169" s="30"/>
      <c r="CC169" s="28"/>
      <c r="CD169" s="29"/>
      <c r="CE169" s="29"/>
      <c r="CF169" s="29"/>
      <c r="CG169" s="29"/>
      <c r="CH169" s="29"/>
      <c r="CI169" s="29"/>
      <c r="CJ169" s="30"/>
    </row>
    <row r="170" spans="1:88" ht="16.5" customHeight="1">
      <c r="A170" s="592"/>
      <c r="B170" s="3" t="s">
        <v>27</v>
      </c>
      <c r="C170" s="39">
        <v>2514</v>
      </c>
      <c r="D170" s="14">
        <v>26</v>
      </c>
      <c r="E170" s="14">
        <v>227</v>
      </c>
      <c r="F170" s="14">
        <v>197</v>
      </c>
      <c r="G170" s="14">
        <v>30</v>
      </c>
      <c r="H170" s="332">
        <v>365</v>
      </c>
      <c r="I170" s="14">
        <v>365</v>
      </c>
      <c r="J170" s="332"/>
      <c r="K170" s="226"/>
      <c r="L170" s="39">
        <v>2501</v>
      </c>
      <c r="M170" s="14">
        <v>2136</v>
      </c>
      <c r="N170" s="14">
        <v>365</v>
      </c>
      <c r="O170" s="332"/>
      <c r="P170" s="14">
        <v>30</v>
      </c>
      <c r="Q170" s="14">
        <v>83.37</v>
      </c>
      <c r="R170" s="14"/>
      <c r="S170" s="14">
        <v>1003</v>
      </c>
      <c r="T170" s="14"/>
      <c r="U170" s="298"/>
      <c r="V170" s="338"/>
      <c r="W170" s="298">
        <v>37910</v>
      </c>
      <c r="X170" s="55">
        <v>3.1</v>
      </c>
      <c r="Y170" s="95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152"/>
      <c r="AL170" s="39">
        <v>108</v>
      </c>
      <c r="AM170" s="14"/>
      <c r="AN170" s="14"/>
      <c r="AO170" s="14"/>
      <c r="AP170" s="14"/>
      <c r="AQ170" s="14"/>
      <c r="AR170" s="14"/>
      <c r="AS170" s="14"/>
      <c r="AT170" s="14"/>
      <c r="AU170" s="18">
        <v>108</v>
      </c>
      <c r="AV170" s="36">
        <v>0.23</v>
      </c>
      <c r="AW170" s="14">
        <v>3210</v>
      </c>
      <c r="AX170" s="304">
        <v>28.7</v>
      </c>
      <c r="AY170" s="304">
        <v>62.1</v>
      </c>
      <c r="AZ170" s="304">
        <v>9.2</v>
      </c>
      <c r="BA170" s="304">
        <v>30.9</v>
      </c>
      <c r="BB170" s="304">
        <v>3.1</v>
      </c>
      <c r="BC170" s="304">
        <v>33.9</v>
      </c>
      <c r="BD170" s="304">
        <v>24.9</v>
      </c>
      <c r="BE170" s="304">
        <v>4.1</v>
      </c>
      <c r="BF170" s="304">
        <v>3.1</v>
      </c>
      <c r="BG170" s="89"/>
      <c r="BH170" s="14">
        <v>24171</v>
      </c>
      <c r="BI170" s="14"/>
      <c r="BJ170" s="14"/>
      <c r="BK170" s="14">
        <v>157</v>
      </c>
      <c r="BL170" s="14"/>
      <c r="BM170" s="14"/>
      <c r="BN170" s="14">
        <v>140.97</v>
      </c>
      <c r="BO170" s="14"/>
      <c r="BP170" s="18">
        <v>140.97</v>
      </c>
      <c r="BQ170" s="28">
        <v>6.55</v>
      </c>
      <c r="BR170" s="29"/>
      <c r="BS170" s="29"/>
      <c r="BT170" s="29">
        <v>56.8</v>
      </c>
      <c r="BU170" s="29"/>
      <c r="BV170" s="29"/>
      <c r="BW170" s="29">
        <v>0.89</v>
      </c>
      <c r="BX170" s="29"/>
      <c r="BY170" s="29"/>
      <c r="BZ170" s="29">
        <v>9.2</v>
      </c>
      <c r="CA170" s="29"/>
      <c r="CB170" s="30"/>
      <c r="CC170" s="28"/>
      <c r="CD170" s="29"/>
      <c r="CE170" s="29"/>
      <c r="CF170" s="29"/>
      <c r="CG170" s="29"/>
      <c r="CH170" s="29"/>
      <c r="CI170" s="29"/>
      <c r="CJ170" s="79"/>
    </row>
    <row r="171" spans="1:88" ht="16.5" customHeight="1">
      <c r="A171" s="592"/>
      <c r="B171" s="3" t="s">
        <v>28</v>
      </c>
      <c r="C171" s="39">
        <v>2740</v>
      </c>
      <c r="D171" s="14">
        <v>26</v>
      </c>
      <c r="E171" s="14">
        <v>315</v>
      </c>
      <c r="F171" s="14">
        <v>283</v>
      </c>
      <c r="G171" s="14">
        <v>32</v>
      </c>
      <c r="H171" s="332">
        <v>323</v>
      </c>
      <c r="I171" s="14">
        <v>323</v>
      </c>
      <c r="J171" s="332"/>
      <c r="K171" s="226"/>
      <c r="L171" s="39">
        <v>2722</v>
      </c>
      <c r="M171" s="14">
        <v>2399</v>
      </c>
      <c r="N171" s="14">
        <v>323</v>
      </c>
      <c r="O171" s="332"/>
      <c r="P171" s="14">
        <v>31</v>
      </c>
      <c r="Q171" s="14">
        <v>87.81</v>
      </c>
      <c r="R171" s="14"/>
      <c r="S171" s="14">
        <v>1025</v>
      </c>
      <c r="T171" s="14"/>
      <c r="U171" s="298"/>
      <c r="V171" s="298">
        <v>2661</v>
      </c>
      <c r="W171" s="338"/>
      <c r="X171" s="55">
        <v>2.5</v>
      </c>
      <c r="Y171" s="95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152"/>
      <c r="AL171" s="39">
        <v>112</v>
      </c>
      <c r="AM171" s="14"/>
      <c r="AN171" s="14"/>
      <c r="AO171" s="14"/>
      <c r="AP171" s="14"/>
      <c r="AQ171" s="14"/>
      <c r="AR171" s="14"/>
      <c r="AS171" s="14"/>
      <c r="AT171" s="14"/>
      <c r="AU171" s="18">
        <v>112</v>
      </c>
      <c r="AV171" s="36">
        <v>0.22</v>
      </c>
      <c r="AW171" s="14">
        <v>3105</v>
      </c>
      <c r="AX171" s="304">
        <v>29.4</v>
      </c>
      <c r="AY171" s="304">
        <v>61.9</v>
      </c>
      <c r="AZ171" s="304">
        <v>8.7</v>
      </c>
      <c r="BA171" s="304">
        <v>32.8</v>
      </c>
      <c r="BB171" s="304">
        <v>2.4</v>
      </c>
      <c r="BC171" s="304">
        <v>32.2</v>
      </c>
      <c r="BD171" s="304">
        <v>25.1</v>
      </c>
      <c r="BE171" s="304">
        <v>4.9</v>
      </c>
      <c r="BF171" s="304">
        <v>2.6</v>
      </c>
      <c r="BG171" s="89"/>
      <c r="BH171" s="14">
        <v>23540</v>
      </c>
      <c r="BI171" s="14"/>
      <c r="BJ171" s="14"/>
      <c r="BK171" s="14">
        <v>157</v>
      </c>
      <c r="BL171" s="14"/>
      <c r="BM171" s="14"/>
      <c r="BN171" s="14">
        <v>185.62</v>
      </c>
      <c r="BO171" s="14"/>
      <c r="BP171" s="18">
        <v>185.62</v>
      </c>
      <c r="BQ171" s="28">
        <v>7.97</v>
      </c>
      <c r="BR171" s="29"/>
      <c r="BS171" s="29"/>
      <c r="BT171" s="29">
        <v>52.6</v>
      </c>
      <c r="BU171" s="29"/>
      <c r="BV171" s="29"/>
      <c r="BW171" s="29">
        <v>0.82</v>
      </c>
      <c r="BX171" s="29"/>
      <c r="BY171" s="29"/>
      <c r="BZ171" s="29">
        <v>9.8</v>
      </c>
      <c r="CA171" s="29"/>
      <c r="CB171" s="30"/>
      <c r="CC171" s="28"/>
      <c r="CD171" s="29"/>
      <c r="CE171" s="29"/>
      <c r="CF171" s="29"/>
      <c r="CG171" s="29"/>
      <c r="CH171" s="29"/>
      <c r="CI171" s="29"/>
      <c r="CJ171" s="79"/>
    </row>
    <row r="172" spans="1:88" ht="16.5" customHeight="1">
      <c r="A172" s="592"/>
      <c r="B172" s="3" t="s">
        <v>29</v>
      </c>
      <c r="C172" s="39">
        <v>1712</v>
      </c>
      <c r="D172" s="14">
        <v>17</v>
      </c>
      <c r="E172" s="14">
        <v>217</v>
      </c>
      <c r="F172" s="14">
        <v>194</v>
      </c>
      <c r="G172" s="14">
        <v>23</v>
      </c>
      <c r="H172" s="332">
        <v>200</v>
      </c>
      <c r="I172" s="14">
        <v>200</v>
      </c>
      <c r="J172" s="332"/>
      <c r="K172" s="226"/>
      <c r="L172" s="39">
        <v>1694</v>
      </c>
      <c r="M172" s="14">
        <v>1494</v>
      </c>
      <c r="N172" s="14">
        <v>200</v>
      </c>
      <c r="O172" s="332"/>
      <c r="P172" s="14">
        <v>20</v>
      </c>
      <c r="Q172" s="14">
        <v>84.7</v>
      </c>
      <c r="R172" s="14"/>
      <c r="S172" s="14">
        <v>1011</v>
      </c>
      <c r="T172" s="14"/>
      <c r="U172" s="298"/>
      <c r="V172" s="298">
        <v>1551</v>
      </c>
      <c r="W172" s="298">
        <v>1920</v>
      </c>
      <c r="X172" s="55">
        <v>3</v>
      </c>
      <c r="Y172" s="95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152"/>
      <c r="AL172" s="39">
        <v>72</v>
      </c>
      <c r="AM172" s="14"/>
      <c r="AN172" s="14"/>
      <c r="AO172" s="14"/>
      <c r="AP172" s="14"/>
      <c r="AQ172" s="14"/>
      <c r="AR172" s="14"/>
      <c r="AS172" s="14"/>
      <c r="AT172" s="14"/>
      <c r="AU172" s="18">
        <v>72</v>
      </c>
      <c r="AV172" s="36">
        <v>0.21</v>
      </c>
      <c r="AW172" s="14">
        <v>3310</v>
      </c>
      <c r="AX172" s="304">
        <v>29.6</v>
      </c>
      <c r="AY172" s="304">
        <v>61.9</v>
      </c>
      <c r="AZ172" s="304">
        <v>8.5</v>
      </c>
      <c r="BA172" s="304">
        <v>33.6</v>
      </c>
      <c r="BB172" s="304">
        <v>2.5</v>
      </c>
      <c r="BC172" s="304">
        <v>30.5</v>
      </c>
      <c r="BD172" s="304">
        <v>25.6</v>
      </c>
      <c r="BE172" s="304">
        <v>5.1</v>
      </c>
      <c r="BF172" s="304">
        <v>2.7</v>
      </c>
      <c r="BG172" s="89"/>
      <c r="BH172" s="14">
        <v>23199</v>
      </c>
      <c r="BI172" s="14"/>
      <c r="BJ172" s="14"/>
      <c r="BK172" s="14">
        <v>162</v>
      </c>
      <c r="BL172" s="14"/>
      <c r="BM172" s="14"/>
      <c r="BN172" s="14">
        <v>117.28</v>
      </c>
      <c r="BO172" s="14"/>
      <c r="BP172" s="18">
        <v>117.28</v>
      </c>
      <c r="BQ172" s="28">
        <v>9.65</v>
      </c>
      <c r="BR172" s="29"/>
      <c r="BS172" s="29"/>
      <c r="BT172" s="29">
        <v>57.6</v>
      </c>
      <c r="BU172" s="29"/>
      <c r="BV172" s="29"/>
      <c r="BW172" s="29">
        <v>0.92</v>
      </c>
      <c r="BX172" s="29"/>
      <c r="BY172" s="29"/>
      <c r="BZ172" s="29">
        <v>9.4</v>
      </c>
      <c r="CA172" s="29"/>
      <c r="CB172" s="30"/>
      <c r="CC172" s="28"/>
      <c r="CD172" s="29"/>
      <c r="CE172" s="29"/>
      <c r="CF172" s="29"/>
      <c r="CG172" s="29"/>
      <c r="CH172" s="29"/>
      <c r="CI172" s="29"/>
      <c r="CJ172" s="79"/>
    </row>
    <row r="173" spans="1:88" ht="16.5" customHeight="1" thickBot="1">
      <c r="A173" s="592"/>
      <c r="B173" s="3" t="s">
        <v>30</v>
      </c>
      <c r="C173" s="39">
        <v>2680</v>
      </c>
      <c r="D173" s="14">
        <v>26</v>
      </c>
      <c r="E173" s="14">
        <v>297</v>
      </c>
      <c r="F173" s="14">
        <v>259</v>
      </c>
      <c r="G173" s="14">
        <v>38</v>
      </c>
      <c r="H173" s="332">
        <v>302</v>
      </c>
      <c r="I173" s="14">
        <v>302</v>
      </c>
      <c r="J173" s="332"/>
      <c r="K173" s="226"/>
      <c r="L173" s="39">
        <v>2670</v>
      </c>
      <c r="M173" s="14">
        <v>2368</v>
      </c>
      <c r="N173" s="14">
        <v>302</v>
      </c>
      <c r="O173" s="332"/>
      <c r="P173" s="14">
        <v>31</v>
      </c>
      <c r="Q173" s="14">
        <v>86.13</v>
      </c>
      <c r="R173" s="14"/>
      <c r="S173" s="14">
        <v>1023</v>
      </c>
      <c r="T173" s="14"/>
      <c r="U173" s="298"/>
      <c r="V173" s="298">
        <v>1157</v>
      </c>
      <c r="W173" s="298">
        <v>130</v>
      </c>
      <c r="X173" s="55">
        <v>2.8</v>
      </c>
      <c r="Y173" s="95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152"/>
      <c r="AL173" s="39">
        <v>112</v>
      </c>
      <c r="AM173" s="14"/>
      <c r="AN173" s="14"/>
      <c r="AO173" s="14"/>
      <c r="AP173" s="14"/>
      <c r="AQ173" s="14"/>
      <c r="AR173" s="14"/>
      <c r="AS173" s="14"/>
      <c r="AT173" s="14"/>
      <c r="AU173" s="18">
        <v>112</v>
      </c>
      <c r="AV173" s="36">
        <v>0.25</v>
      </c>
      <c r="AW173" s="14">
        <v>3120</v>
      </c>
      <c r="AX173" s="304">
        <v>31.1</v>
      </c>
      <c r="AY173" s="304">
        <v>60</v>
      </c>
      <c r="AZ173" s="304">
        <v>8.9</v>
      </c>
      <c r="BA173" s="304">
        <v>34.1</v>
      </c>
      <c r="BB173" s="304">
        <v>3.1</v>
      </c>
      <c r="BC173" s="304">
        <v>30.2</v>
      </c>
      <c r="BD173" s="304">
        <v>25.8</v>
      </c>
      <c r="BE173" s="304">
        <v>3.9</v>
      </c>
      <c r="BF173" s="304">
        <v>2.9</v>
      </c>
      <c r="BG173" s="89"/>
      <c r="BH173" s="14">
        <v>23280</v>
      </c>
      <c r="BI173" s="14"/>
      <c r="BJ173" s="14"/>
      <c r="BK173" s="14">
        <v>160</v>
      </c>
      <c r="BL173" s="14"/>
      <c r="BM173" s="14"/>
      <c r="BN173" s="14">
        <v>69.86</v>
      </c>
      <c r="BO173" s="14"/>
      <c r="BP173" s="18">
        <v>69.86</v>
      </c>
      <c r="BQ173" s="28">
        <v>11.37</v>
      </c>
      <c r="BR173" s="29"/>
      <c r="BS173" s="29"/>
      <c r="BT173" s="29">
        <v>68.35</v>
      </c>
      <c r="BU173" s="29"/>
      <c r="BV173" s="29"/>
      <c r="BW173" s="29">
        <v>1.3</v>
      </c>
      <c r="BX173" s="29"/>
      <c r="BY173" s="29"/>
      <c r="BZ173" s="29">
        <v>10.45</v>
      </c>
      <c r="CA173" s="29"/>
      <c r="CB173" s="30"/>
      <c r="CC173" s="28"/>
      <c r="CD173" s="29"/>
      <c r="CE173" s="29"/>
      <c r="CF173" s="29"/>
      <c r="CG173" s="78"/>
      <c r="CH173" s="29"/>
      <c r="CI173" s="78"/>
      <c r="CJ173" s="79"/>
    </row>
    <row r="174" spans="1:88" ht="16.5" customHeight="1">
      <c r="A174" s="478" t="s">
        <v>60</v>
      </c>
      <c r="B174" s="10" t="s">
        <v>48</v>
      </c>
      <c r="C174" s="360">
        <v>27279.47</v>
      </c>
      <c r="D174" s="333">
        <v>356</v>
      </c>
      <c r="E174" s="333">
        <v>4274.31</v>
      </c>
      <c r="F174" s="333">
        <v>3764.49</v>
      </c>
      <c r="G174" s="333">
        <v>509.82</v>
      </c>
      <c r="H174" s="333">
        <f>SUM(H175:H186)</f>
        <v>1428</v>
      </c>
      <c r="I174" s="333">
        <f>SUM(I175:I186)</f>
        <v>193</v>
      </c>
      <c r="J174" s="333">
        <f>SUM(J175:J186)</f>
        <v>1235.35</v>
      </c>
      <c r="K174" s="334"/>
      <c r="L174" s="360">
        <f>SUM(L175:L186)</f>
        <v>24269.730999999996</v>
      </c>
      <c r="M174" s="333">
        <f>SUM(M175:M186)</f>
        <v>24054.130999999998</v>
      </c>
      <c r="N174" s="333">
        <f>SUM(N175:N186)</f>
        <v>215.6</v>
      </c>
      <c r="O174" s="333"/>
      <c r="P174" s="333">
        <f>SUM(P175:P186)</f>
        <v>294.7083333333333</v>
      </c>
      <c r="Q174" s="333">
        <f>AVERAGE(Q175:Q186)</f>
        <v>82.6196270796431</v>
      </c>
      <c r="R174" s="474">
        <f>AVERAGE(R175:R186)</f>
        <v>0.8563905180840664</v>
      </c>
      <c r="S174" s="333">
        <f>AVERAGE(S175:S186)</f>
        <v>909.9260416666667</v>
      </c>
      <c r="T174" s="333">
        <f>SUM(T175:T186)</f>
        <v>194420</v>
      </c>
      <c r="U174" s="333">
        <f>SUM(U175:U186)</f>
        <v>299046.8</v>
      </c>
      <c r="V174" s="333"/>
      <c r="W174" s="333"/>
      <c r="X174" s="339">
        <f>AVERAGE(X175:X186)</f>
        <v>1.6450000000000002</v>
      </c>
      <c r="Y174" s="11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70"/>
      <c r="AL174" s="431">
        <f>SUM(AL175:AL186)</f>
        <v>34049.86324</v>
      </c>
      <c r="AM174" s="432">
        <f>SUM(AM175:AM186)</f>
        <v>122.70000000000002</v>
      </c>
      <c r="AN174" s="433"/>
      <c r="AO174" s="433"/>
      <c r="AP174" s="433"/>
      <c r="AQ174" s="433"/>
      <c r="AR174" s="433"/>
      <c r="AS174" s="433"/>
      <c r="AT174" s="433"/>
      <c r="AU174" s="434">
        <f>SUM(AU175:AU186)</f>
        <v>33927.16324</v>
      </c>
      <c r="AV174" s="352">
        <f aca="true" t="shared" si="104" ref="AV174:BG174">AVERAGE(AV175:AV186)</f>
        <v>0.2775</v>
      </c>
      <c r="AW174" s="333">
        <f t="shared" si="104"/>
        <v>1525.7916666666667</v>
      </c>
      <c r="AX174" s="353">
        <f t="shared" si="104"/>
        <v>53.711666666666666</v>
      </c>
      <c r="AY174" s="353">
        <f t="shared" si="104"/>
        <v>38.848333333333336</v>
      </c>
      <c r="AZ174" s="353">
        <f t="shared" si="104"/>
        <v>7.448333333333334</v>
      </c>
      <c r="BA174" s="353">
        <f t="shared" si="104"/>
        <v>16.900000000000002</v>
      </c>
      <c r="BB174" s="353">
        <f t="shared" si="104"/>
        <v>7.983333333333334</v>
      </c>
      <c r="BC174" s="353">
        <f t="shared" si="104"/>
        <v>13.625</v>
      </c>
      <c r="BD174" s="353">
        <f t="shared" si="104"/>
        <v>47.30833333333334</v>
      </c>
      <c r="BE174" s="353">
        <f t="shared" si="104"/>
        <v>7.284166666666668</v>
      </c>
      <c r="BF174" s="353">
        <f t="shared" si="104"/>
        <v>6.899166666666666</v>
      </c>
      <c r="BG174" s="339">
        <f t="shared" si="104"/>
        <v>0</v>
      </c>
      <c r="BH174" s="360">
        <f>SUM(BH175:BH186)</f>
        <v>284114.80000000005</v>
      </c>
      <c r="BI174" s="333"/>
      <c r="BJ174" s="333"/>
      <c r="BK174" s="333">
        <f>AVERAGE(BK175:BK186)</f>
        <v>199.0658333333333</v>
      </c>
      <c r="BL174" s="333"/>
      <c r="BM174" s="333"/>
      <c r="BN174" s="333">
        <f>SUM(BN175:BN186)</f>
        <v>5093.36</v>
      </c>
      <c r="BO174" s="333"/>
      <c r="BP174" s="334">
        <f>SUM(BP175:BP186)</f>
        <v>5093.36</v>
      </c>
      <c r="BQ174" s="365">
        <f>AVERAGE(BQ175:BQ186)</f>
        <v>7.275833333333334</v>
      </c>
      <c r="BR174" s="366"/>
      <c r="BS174" s="366"/>
      <c r="BT174" s="366">
        <f>AVERAGE(BT175:BT186)</f>
        <v>34.03666666666666</v>
      </c>
      <c r="BU174" s="366"/>
      <c r="BV174" s="366"/>
      <c r="BW174" s="366">
        <f>AVERAGE(BW175:BW186)</f>
        <v>2.430833333333333</v>
      </c>
      <c r="BX174" s="366"/>
      <c r="BY174" s="366"/>
      <c r="BZ174" s="366">
        <f>AVERAGE(BZ175:BZ186)</f>
        <v>9.649166666666666</v>
      </c>
      <c r="CA174" s="366"/>
      <c r="CB174" s="367"/>
      <c r="CC174" s="377">
        <f aca="true" t="shared" si="105" ref="CC174:CH174">AVERAGE(CC175:CC186)</f>
        <v>7.189166666666665</v>
      </c>
      <c r="CD174" s="378">
        <f t="shared" si="105"/>
        <v>45.34416666666667</v>
      </c>
      <c r="CE174" s="378">
        <f t="shared" si="105"/>
        <v>30.6525</v>
      </c>
      <c r="CF174" s="378">
        <f t="shared" si="105"/>
        <v>14.290000000000001</v>
      </c>
      <c r="CG174" s="379">
        <f t="shared" si="105"/>
        <v>0.21558333333333335</v>
      </c>
      <c r="CH174" s="379">
        <f t="shared" si="105"/>
        <v>0.058136363636363646</v>
      </c>
      <c r="CI174" s="380" t="s">
        <v>36</v>
      </c>
      <c r="CJ174" s="381">
        <f>AVERAGE(CJ175:CJ186)</f>
        <v>0.06550000000000002</v>
      </c>
    </row>
    <row r="175" spans="1:88" ht="16.5" customHeight="1">
      <c r="A175" s="592"/>
      <c r="B175" s="3" t="s">
        <v>19</v>
      </c>
      <c r="C175" s="363">
        <v>1375</v>
      </c>
      <c r="D175" s="301">
        <v>31</v>
      </c>
      <c r="E175" s="301">
        <v>268.2</v>
      </c>
      <c r="F175" s="301">
        <v>240.8</v>
      </c>
      <c r="G175" s="301">
        <v>27.4</v>
      </c>
      <c r="H175" s="301">
        <v>62</v>
      </c>
      <c r="I175" s="301">
        <v>16.8</v>
      </c>
      <c r="J175" s="301">
        <v>44.8</v>
      </c>
      <c r="K175" s="335"/>
      <c r="L175" s="361">
        <v>1635.4</v>
      </c>
      <c r="M175" s="340">
        <v>1618.6</v>
      </c>
      <c r="N175" s="340">
        <v>16.8</v>
      </c>
      <c r="O175" s="340"/>
      <c r="P175" s="340">
        <v>22</v>
      </c>
      <c r="Q175" s="340">
        <v>74.33</v>
      </c>
      <c r="R175" s="475">
        <v>0.7096774193548387</v>
      </c>
      <c r="S175" s="340">
        <v>873</v>
      </c>
      <c r="T175" s="340">
        <v>18668</v>
      </c>
      <c r="U175" s="340">
        <v>26610</v>
      </c>
      <c r="V175" s="340"/>
      <c r="W175" s="340"/>
      <c r="X175" s="341">
        <v>2.95</v>
      </c>
      <c r="Y175" s="39"/>
      <c r="Z175" s="14"/>
      <c r="AA175" s="14"/>
      <c r="AB175" s="14"/>
      <c r="AC175" s="14"/>
      <c r="AD175" s="14"/>
      <c r="AE175" s="14"/>
      <c r="AF175" s="14"/>
      <c r="AG175" s="14"/>
      <c r="AH175" s="136"/>
      <c r="AI175" s="14"/>
      <c r="AJ175" s="14"/>
      <c r="AK175" s="55"/>
      <c r="AL175" s="346">
        <f>SUM(AM175:AU175)</f>
        <v>2184.5</v>
      </c>
      <c r="AM175" s="347"/>
      <c r="AN175" s="347"/>
      <c r="AO175" s="347"/>
      <c r="AP175" s="347"/>
      <c r="AQ175" s="347"/>
      <c r="AR175" s="347"/>
      <c r="AS175" s="347"/>
      <c r="AT175" s="347"/>
      <c r="AU175" s="348">
        <v>2184.5</v>
      </c>
      <c r="AV175" s="354">
        <v>0.34</v>
      </c>
      <c r="AW175" s="340">
        <v>1408</v>
      </c>
      <c r="AX175" s="355">
        <v>53.1</v>
      </c>
      <c r="AY175" s="355">
        <v>36.6</v>
      </c>
      <c r="AZ175" s="355">
        <v>10.3</v>
      </c>
      <c r="BA175" s="355">
        <v>16.2</v>
      </c>
      <c r="BB175" s="355">
        <v>9.6</v>
      </c>
      <c r="BC175" s="355">
        <v>13.8</v>
      </c>
      <c r="BD175" s="355">
        <v>50.8</v>
      </c>
      <c r="BE175" s="355">
        <v>4.4</v>
      </c>
      <c r="BF175" s="355">
        <v>5.2</v>
      </c>
      <c r="BG175" s="341">
        <v>0</v>
      </c>
      <c r="BH175" s="361">
        <v>27732</v>
      </c>
      <c r="BI175" s="340"/>
      <c r="BJ175" s="340"/>
      <c r="BK175" s="340">
        <v>205</v>
      </c>
      <c r="BL175" s="340"/>
      <c r="BM175" s="340"/>
      <c r="BN175" s="340">
        <v>118.9</v>
      </c>
      <c r="BO175" s="340"/>
      <c r="BP175" s="362">
        <v>118.9</v>
      </c>
      <c r="BQ175" s="368">
        <v>6.15</v>
      </c>
      <c r="BR175" s="369"/>
      <c r="BS175" s="369"/>
      <c r="BT175" s="369">
        <v>31.7</v>
      </c>
      <c r="BU175" s="369"/>
      <c r="BV175" s="369"/>
      <c r="BW175" s="369">
        <v>1.98</v>
      </c>
      <c r="BX175" s="369"/>
      <c r="BY175" s="369"/>
      <c r="BZ175" s="369">
        <v>1.02</v>
      </c>
      <c r="CA175" s="369"/>
      <c r="CB175" s="370"/>
      <c r="CC175" s="382">
        <v>8</v>
      </c>
      <c r="CD175" s="383">
        <v>110.3</v>
      </c>
      <c r="CE175" s="383">
        <v>72.9</v>
      </c>
      <c r="CF175" s="383">
        <v>75</v>
      </c>
      <c r="CG175" s="384">
        <v>0.624</v>
      </c>
      <c r="CH175" s="384">
        <v>0.024</v>
      </c>
      <c r="CI175" s="385" t="s">
        <v>42</v>
      </c>
      <c r="CJ175" s="386">
        <v>0.062</v>
      </c>
    </row>
    <row r="176" spans="1:88" ht="16.5" customHeight="1">
      <c r="A176" s="592"/>
      <c r="B176" s="3" t="s">
        <v>20</v>
      </c>
      <c r="C176" s="363">
        <v>1403</v>
      </c>
      <c r="D176" s="301">
        <v>29</v>
      </c>
      <c r="E176" s="301">
        <v>62.7</v>
      </c>
      <c r="F176" s="301">
        <v>49.3</v>
      </c>
      <c r="G176" s="301">
        <v>13.4</v>
      </c>
      <c r="H176" s="301">
        <v>21</v>
      </c>
      <c r="I176" s="301">
        <v>11.4</v>
      </c>
      <c r="J176" s="301">
        <v>9.2</v>
      </c>
      <c r="K176" s="335"/>
      <c r="L176" s="363">
        <v>527.3</v>
      </c>
      <c r="M176" s="301">
        <v>490.5</v>
      </c>
      <c r="N176" s="301">
        <v>36.8</v>
      </c>
      <c r="O176" s="301"/>
      <c r="P176" s="301">
        <v>6</v>
      </c>
      <c r="Q176" s="301">
        <v>87.88</v>
      </c>
      <c r="R176" s="476"/>
      <c r="S176" s="301">
        <v>936</v>
      </c>
      <c r="T176" s="301">
        <v>3378</v>
      </c>
      <c r="U176" s="301">
        <v>24340</v>
      </c>
      <c r="V176" s="301"/>
      <c r="W176" s="301"/>
      <c r="X176" s="342"/>
      <c r="Y176" s="39"/>
      <c r="Z176" s="14"/>
      <c r="AA176" s="14"/>
      <c r="AB176" s="14"/>
      <c r="AC176" s="14"/>
      <c r="AD176" s="14"/>
      <c r="AE176" s="14"/>
      <c r="AF176" s="14"/>
      <c r="AG176" s="14"/>
      <c r="AH176" s="136"/>
      <c r="AI176" s="14"/>
      <c r="AJ176" s="14"/>
      <c r="AK176" s="55"/>
      <c r="AL176" s="346">
        <f>SUM(AM176:AU176)</f>
        <v>612.4</v>
      </c>
      <c r="AM176" s="347"/>
      <c r="AN176" s="347"/>
      <c r="AO176" s="347"/>
      <c r="AP176" s="347"/>
      <c r="AQ176" s="347"/>
      <c r="AR176" s="347"/>
      <c r="AS176" s="347"/>
      <c r="AT176" s="347"/>
      <c r="AU176" s="348">
        <v>612.4</v>
      </c>
      <c r="AV176" s="356">
        <v>0.29</v>
      </c>
      <c r="AW176" s="301">
        <v>1658</v>
      </c>
      <c r="AX176" s="357">
        <v>51.2</v>
      </c>
      <c r="AY176" s="357">
        <v>37.1</v>
      </c>
      <c r="AZ176" s="357">
        <v>11.7</v>
      </c>
      <c r="BA176" s="357">
        <v>15.4</v>
      </c>
      <c r="BB176" s="357">
        <v>8.4</v>
      </c>
      <c r="BC176" s="357">
        <v>16.2</v>
      </c>
      <c r="BD176" s="357">
        <v>51.2</v>
      </c>
      <c r="BE176" s="357">
        <v>3.5</v>
      </c>
      <c r="BF176" s="357">
        <v>5.3</v>
      </c>
      <c r="BG176" s="342">
        <v>0</v>
      </c>
      <c r="BH176" s="363">
        <v>29100</v>
      </c>
      <c r="BI176" s="301"/>
      <c r="BJ176" s="301"/>
      <c r="BK176" s="301">
        <v>207</v>
      </c>
      <c r="BL176" s="301"/>
      <c r="BM176" s="301"/>
      <c r="BN176" s="301">
        <v>164.9</v>
      </c>
      <c r="BO176" s="301"/>
      <c r="BP176" s="335">
        <v>164.9</v>
      </c>
      <c r="BQ176" s="371">
        <v>5.8</v>
      </c>
      <c r="BR176" s="372"/>
      <c r="BS176" s="372"/>
      <c r="BT176" s="372">
        <v>15.8</v>
      </c>
      <c r="BU176" s="372"/>
      <c r="BV176" s="372"/>
      <c r="BW176" s="372">
        <v>5.2</v>
      </c>
      <c r="BX176" s="372"/>
      <c r="BY176" s="372"/>
      <c r="BZ176" s="372">
        <v>13.2</v>
      </c>
      <c r="CA176" s="372"/>
      <c r="CB176" s="373"/>
      <c r="CC176" s="387">
        <v>8.01</v>
      </c>
      <c r="CD176" s="388">
        <v>50.25</v>
      </c>
      <c r="CE176" s="388">
        <v>35.3</v>
      </c>
      <c r="CF176" s="388">
        <v>3</v>
      </c>
      <c r="CG176" s="389">
        <v>0.22</v>
      </c>
      <c r="CH176" s="389">
        <v>0.02</v>
      </c>
      <c r="CI176" s="390" t="s">
        <v>36</v>
      </c>
      <c r="CJ176" s="391">
        <v>0.026</v>
      </c>
    </row>
    <row r="177" spans="1:88" ht="16.5" customHeight="1">
      <c r="A177" s="592"/>
      <c r="B177" s="3" t="s">
        <v>21</v>
      </c>
      <c r="C177" s="363">
        <v>2103.47</v>
      </c>
      <c r="D177" s="301">
        <v>31</v>
      </c>
      <c r="E177" s="301">
        <v>499.74</v>
      </c>
      <c r="F177" s="301">
        <v>438.5</v>
      </c>
      <c r="G177" s="301">
        <v>61.24</v>
      </c>
      <c r="H177" s="301">
        <v>82</v>
      </c>
      <c r="I177" s="301">
        <v>11</v>
      </c>
      <c r="J177" s="301">
        <v>71.12</v>
      </c>
      <c r="K177" s="335"/>
      <c r="L177" s="363">
        <v>2644.8</v>
      </c>
      <c r="M177" s="301">
        <v>2633.8</v>
      </c>
      <c r="N177" s="301">
        <v>11</v>
      </c>
      <c r="O177" s="301"/>
      <c r="P177" s="301">
        <v>31</v>
      </c>
      <c r="Q177" s="301">
        <v>85.31612903225808</v>
      </c>
      <c r="R177" s="476">
        <v>1</v>
      </c>
      <c r="S177" s="301">
        <v>905.505</v>
      </c>
      <c r="T177" s="301">
        <v>6573</v>
      </c>
      <c r="U177" s="301">
        <v>21486</v>
      </c>
      <c r="V177" s="301"/>
      <c r="W177" s="301"/>
      <c r="X177" s="342">
        <v>1.125</v>
      </c>
      <c r="Y177" s="39"/>
      <c r="Z177" s="14"/>
      <c r="AA177" s="14"/>
      <c r="AB177" s="14"/>
      <c r="AC177" s="14"/>
      <c r="AD177" s="14"/>
      <c r="AE177" s="14"/>
      <c r="AF177" s="14"/>
      <c r="AG177" s="14"/>
      <c r="AH177" s="136"/>
      <c r="AI177" s="14"/>
      <c r="AJ177" s="14"/>
      <c r="AK177" s="55"/>
      <c r="AL177" s="346">
        <v>3908.5389</v>
      </c>
      <c r="AM177" s="347">
        <v>10.5</v>
      </c>
      <c r="AN177" s="347"/>
      <c r="AO177" s="347"/>
      <c r="AP177" s="347"/>
      <c r="AQ177" s="347"/>
      <c r="AR177" s="347"/>
      <c r="AS177" s="347"/>
      <c r="AT177" s="347"/>
      <c r="AU177" s="348">
        <v>3898.0389</v>
      </c>
      <c r="AV177" s="356">
        <v>0.29</v>
      </c>
      <c r="AW177" s="301">
        <v>1563.54</v>
      </c>
      <c r="AX177" s="357">
        <v>50.3</v>
      </c>
      <c r="AY177" s="357">
        <v>38.6</v>
      </c>
      <c r="AZ177" s="357">
        <v>11.1</v>
      </c>
      <c r="BA177" s="357">
        <v>16.3</v>
      </c>
      <c r="BB177" s="357">
        <v>6.3</v>
      </c>
      <c r="BC177" s="357">
        <v>16.5</v>
      </c>
      <c r="BD177" s="357">
        <v>51.1</v>
      </c>
      <c r="BE177" s="357">
        <v>7.2</v>
      </c>
      <c r="BF177" s="357">
        <v>2.6</v>
      </c>
      <c r="BG177" s="342">
        <v>0</v>
      </c>
      <c r="BH177" s="363">
        <v>23385</v>
      </c>
      <c r="BI177" s="301"/>
      <c r="BJ177" s="301"/>
      <c r="BK177" s="301">
        <v>205.3</v>
      </c>
      <c r="BL177" s="301"/>
      <c r="BM177" s="301"/>
      <c r="BN177" s="301">
        <v>551.8</v>
      </c>
      <c r="BO177" s="301"/>
      <c r="BP177" s="335">
        <v>551.8</v>
      </c>
      <c r="BQ177" s="371">
        <v>8.92</v>
      </c>
      <c r="BR177" s="372"/>
      <c r="BS177" s="372"/>
      <c r="BT177" s="372">
        <v>39.8</v>
      </c>
      <c r="BU177" s="372"/>
      <c r="BV177" s="372"/>
      <c r="BW177" s="372">
        <v>6.39</v>
      </c>
      <c r="BX177" s="372"/>
      <c r="BY177" s="372"/>
      <c r="BZ177" s="372">
        <v>4.05</v>
      </c>
      <c r="CA177" s="372"/>
      <c r="CB177" s="373"/>
      <c r="CC177" s="387">
        <v>7.18</v>
      </c>
      <c r="CD177" s="388">
        <v>46.12</v>
      </c>
      <c r="CE177" s="388">
        <v>31.44</v>
      </c>
      <c r="CF177" s="388">
        <v>9.48</v>
      </c>
      <c r="CG177" s="389">
        <v>0.279</v>
      </c>
      <c r="CH177" s="389">
        <v>0.0465</v>
      </c>
      <c r="CI177" s="390" t="s">
        <v>36</v>
      </c>
      <c r="CJ177" s="391">
        <v>0.124</v>
      </c>
    </row>
    <row r="178" spans="1:88" ht="16.5" customHeight="1">
      <c r="A178" s="592"/>
      <c r="B178" s="3" t="s">
        <v>22</v>
      </c>
      <c r="C178" s="363">
        <v>2774.3</v>
      </c>
      <c r="D178" s="301">
        <v>30</v>
      </c>
      <c r="E178" s="301">
        <v>407.57</v>
      </c>
      <c r="F178" s="301">
        <v>372.1</v>
      </c>
      <c r="G178" s="301">
        <v>35.47</v>
      </c>
      <c r="H178" s="301">
        <v>16</v>
      </c>
      <c r="I178" s="301">
        <v>15.5</v>
      </c>
      <c r="J178" s="301"/>
      <c r="K178" s="335"/>
      <c r="L178" s="363">
        <v>1767.4</v>
      </c>
      <c r="M178" s="301">
        <v>1751.9</v>
      </c>
      <c r="N178" s="301">
        <v>15.5</v>
      </c>
      <c r="O178" s="301"/>
      <c r="P178" s="301">
        <v>22.333333333333332</v>
      </c>
      <c r="Q178" s="301">
        <v>79.13731343283582</v>
      </c>
      <c r="R178" s="476">
        <v>0.7444444444444444</v>
      </c>
      <c r="S178" s="301">
        <v>925.6975</v>
      </c>
      <c r="T178" s="301">
        <v>4302</v>
      </c>
      <c r="U178" s="301">
        <v>13857</v>
      </c>
      <c r="V178" s="301"/>
      <c r="W178" s="301"/>
      <c r="X178" s="342">
        <v>1.08</v>
      </c>
      <c r="Y178" s="39"/>
      <c r="Z178" s="14"/>
      <c r="AA178" s="14"/>
      <c r="AB178" s="14"/>
      <c r="AC178" s="14"/>
      <c r="AD178" s="14"/>
      <c r="AE178" s="14"/>
      <c r="AF178" s="14"/>
      <c r="AG178" s="14"/>
      <c r="AH178" s="136"/>
      <c r="AI178" s="14"/>
      <c r="AJ178" s="14"/>
      <c r="AK178" s="55"/>
      <c r="AL178" s="346">
        <v>2306.8318000000004</v>
      </c>
      <c r="AM178" s="347">
        <v>7</v>
      </c>
      <c r="AN178" s="347"/>
      <c r="AO178" s="347"/>
      <c r="AP178" s="347"/>
      <c r="AQ178" s="347"/>
      <c r="AR178" s="347"/>
      <c r="AS178" s="347"/>
      <c r="AT178" s="347"/>
      <c r="AU178" s="348">
        <v>2299.8318000000004</v>
      </c>
      <c r="AV178" s="356">
        <v>0.24</v>
      </c>
      <c r="AW178" s="301">
        <v>1499.66</v>
      </c>
      <c r="AX178" s="357">
        <v>57.9</v>
      </c>
      <c r="AY178" s="357">
        <v>34.13</v>
      </c>
      <c r="AZ178" s="357">
        <v>7.97</v>
      </c>
      <c r="BA178" s="357">
        <v>11.5</v>
      </c>
      <c r="BB178" s="357">
        <v>8.5</v>
      </c>
      <c r="BC178" s="357">
        <v>11.3</v>
      </c>
      <c r="BD178" s="357">
        <v>55</v>
      </c>
      <c r="BE178" s="357">
        <v>10.9</v>
      </c>
      <c r="BF178" s="357">
        <v>2.8</v>
      </c>
      <c r="BG178" s="342">
        <v>0</v>
      </c>
      <c r="BH178" s="363">
        <v>22557</v>
      </c>
      <c r="BI178" s="301"/>
      <c r="BJ178" s="301"/>
      <c r="BK178" s="301">
        <v>189</v>
      </c>
      <c r="BL178" s="301"/>
      <c r="BM178" s="301"/>
      <c r="BN178" s="301">
        <v>392.8</v>
      </c>
      <c r="BO178" s="301"/>
      <c r="BP178" s="335">
        <v>392.8</v>
      </c>
      <c r="BQ178" s="371">
        <v>10.43</v>
      </c>
      <c r="BR178" s="372"/>
      <c r="BS178" s="372"/>
      <c r="BT178" s="372">
        <v>35.35</v>
      </c>
      <c r="BU178" s="372"/>
      <c r="BV178" s="372"/>
      <c r="BW178" s="372">
        <v>1.36</v>
      </c>
      <c r="BX178" s="372"/>
      <c r="BY178" s="372"/>
      <c r="BZ178" s="372">
        <v>30.3</v>
      </c>
      <c r="CA178" s="372"/>
      <c r="CB178" s="373"/>
      <c r="CC178" s="387">
        <v>7.31</v>
      </c>
      <c r="CD178" s="388">
        <v>34.25</v>
      </c>
      <c r="CE178" s="388">
        <v>21.93</v>
      </c>
      <c r="CF178" s="388">
        <v>7</v>
      </c>
      <c r="CG178" s="389">
        <v>0.109</v>
      </c>
      <c r="CH178" s="389">
        <v>0.018</v>
      </c>
      <c r="CI178" s="390" t="s">
        <v>36</v>
      </c>
      <c r="CJ178" s="391">
        <v>0.051</v>
      </c>
    </row>
    <row r="179" spans="1:88" ht="16.5" customHeight="1">
      <c r="A179" s="592"/>
      <c r="B179" s="3" t="s">
        <v>23</v>
      </c>
      <c r="C179" s="363">
        <v>2253.35</v>
      </c>
      <c r="D179" s="301">
        <v>31</v>
      </c>
      <c r="E179" s="301">
        <v>292.67</v>
      </c>
      <c r="F179" s="301">
        <v>265.3</v>
      </c>
      <c r="G179" s="301">
        <v>27.37</v>
      </c>
      <c r="H179" s="301">
        <v>168</v>
      </c>
      <c r="I179" s="301">
        <v>17</v>
      </c>
      <c r="J179" s="301">
        <v>150.9</v>
      </c>
      <c r="K179" s="335"/>
      <c r="L179" s="363">
        <v>2017.391</v>
      </c>
      <c r="M179" s="301">
        <v>2000.391</v>
      </c>
      <c r="N179" s="301">
        <v>17</v>
      </c>
      <c r="O179" s="301"/>
      <c r="P179" s="301">
        <v>23.875</v>
      </c>
      <c r="Q179" s="301">
        <v>84.49805235602095</v>
      </c>
      <c r="R179" s="476">
        <v>0.7701612903225806</v>
      </c>
      <c r="S179" s="301">
        <v>912</v>
      </c>
      <c r="T179" s="301">
        <v>12482.5</v>
      </c>
      <c r="U179" s="301">
        <v>16753.9</v>
      </c>
      <c r="V179" s="301"/>
      <c r="W179" s="301"/>
      <c r="X179" s="342">
        <v>1.17</v>
      </c>
      <c r="Y179" s="39"/>
      <c r="Z179" s="14"/>
      <c r="AA179" s="14"/>
      <c r="AB179" s="14"/>
      <c r="AC179" s="14"/>
      <c r="AD179" s="14"/>
      <c r="AE179" s="14"/>
      <c r="AF179" s="14"/>
      <c r="AG179" s="14"/>
      <c r="AH179" s="136"/>
      <c r="AI179" s="14"/>
      <c r="AJ179" s="14"/>
      <c r="AK179" s="55"/>
      <c r="AL179" s="346">
        <v>2462.3772400000003</v>
      </c>
      <c r="AM179" s="347">
        <v>5.3359999999999985</v>
      </c>
      <c r="AN179" s="347"/>
      <c r="AO179" s="347"/>
      <c r="AP179" s="347"/>
      <c r="AQ179" s="347"/>
      <c r="AR179" s="347"/>
      <c r="AS179" s="347"/>
      <c r="AT179" s="347"/>
      <c r="AU179" s="348">
        <v>2457.0412400000005</v>
      </c>
      <c r="AV179" s="356">
        <v>0.28</v>
      </c>
      <c r="AW179" s="301">
        <v>1617</v>
      </c>
      <c r="AX179" s="357">
        <v>56.4</v>
      </c>
      <c r="AY179" s="357">
        <v>38.45</v>
      </c>
      <c r="AZ179" s="357">
        <v>5.15</v>
      </c>
      <c r="BA179" s="357">
        <v>9.7</v>
      </c>
      <c r="BB179" s="357">
        <v>7.4</v>
      </c>
      <c r="BC179" s="357">
        <v>14.7</v>
      </c>
      <c r="BD179" s="357">
        <v>49.8</v>
      </c>
      <c r="BE179" s="357">
        <v>12.1</v>
      </c>
      <c r="BF179" s="357">
        <v>6.299999999999992</v>
      </c>
      <c r="BG179" s="342">
        <v>0</v>
      </c>
      <c r="BH179" s="363">
        <v>21957.8</v>
      </c>
      <c r="BI179" s="301"/>
      <c r="BJ179" s="301"/>
      <c r="BK179" s="301">
        <v>190.03</v>
      </c>
      <c r="BL179" s="301"/>
      <c r="BM179" s="301"/>
      <c r="BN179" s="301">
        <v>463.54</v>
      </c>
      <c r="BO179" s="301"/>
      <c r="BP179" s="335">
        <v>463.54</v>
      </c>
      <c r="BQ179" s="371">
        <v>8.29</v>
      </c>
      <c r="BR179" s="372"/>
      <c r="BS179" s="372"/>
      <c r="BT179" s="372">
        <v>30.2</v>
      </c>
      <c r="BU179" s="372"/>
      <c r="BV179" s="372"/>
      <c r="BW179" s="372">
        <v>2.86</v>
      </c>
      <c r="BX179" s="372"/>
      <c r="BY179" s="372"/>
      <c r="BZ179" s="372">
        <v>6.45</v>
      </c>
      <c r="CA179" s="372"/>
      <c r="CB179" s="373"/>
      <c r="CC179" s="387">
        <v>6.82</v>
      </c>
      <c r="CD179" s="388">
        <v>28.17</v>
      </c>
      <c r="CE179" s="388">
        <v>12.39</v>
      </c>
      <c r="CF179" s="388">
        <v>14</v>
      </c>
      <c r="CG179" s="389">
        <v>0.222</v>
      </c>
      <c r="CH179" s="389">
        <v>0.027</v>
      </c>
      <c r="CI179" s="390" t="s">
        <v>36</v>
      </c>
      <c r="CJ179" s="391">
        <v>0.134</v>
      </c>
    </row>
    <row r="180" spans="1:88" ht="16.5" customHeight="1">
      <c r="A180" s="592"/>
      <c r="B180" s="3" t="s">
        <v>24</v>
      </c>
      <c r="C180" s="363">
        <v>2613.37</v>
      </c>
      <c r="D180" s="301">
        <v>30</v>
      </c>
      <c r="E180" s="301">
        <v>427.73</v>
      </c>
      <c r="F180" s="301">
        <v>377.1</v>
      </c>
      <c r="G180" s="301">
        <v>50.63</v>
      </c>
      <c r="H180" s="301">
        <v>99</v>
      </c>
      <c r="I180" s="301">
        <v>33.8</v>
      </c>
      <c r="J180" s="301">
        <v>65.1</v>
      </c>
      <c r="K180" s="335"/>
      <c r="L180" s="363">
        <v>2576.34</v>
      </c>
      <c r="M180" s="301">
        <v>2542.54</v>
      </c>
      <c r="N180" s="301">
        <v>33.8</v>
      </c>
      <c r="O180" s="301"/>
      <c r="P180" s="301">
        <v>30</v>
      </c>
      <c r="Q180" s="301">
        <v>85.878</v>
      </c>
      <c r="R180" s="476">
        <v>1</v>
      </c>
      <c r="S180" s="301">
        <v>893.83</v>
      </c>
      <c r="T180" s="301">
        <v>9395.6</v>
      </c>
      <c r="U180" s="301">
        <v>21030</v>
      </c>
      <c r="V180" s="301"/>
      <c r="W180" s="301"/>
      <c r="X180" s="342">
        <v>1.93</v>
      </c>
      <c r="Y180" s="39"/>
      <c r="Z180" s="14"/>
      <c r="AA180" s="14"/>
      <c r="AB180" s="14"/>
      <c r="AC180" s="14"/>
      <c r="AD180" s="14"/>
      <c r="AE180" s="14"/>
      <c r="AF180" s="14"/>
      <c r="AG180" s="14"/>
      <c r="AH180" s="136"/>
      <c r="AI180" s="14"/>
      <c r="AJ180" s="14"/>
      <c r="AK180" s="55"/>
      <c r="AL180" s="346">
        <v>3621.143</v>
      </c>
      <c r="AM180" s="347">
        <v>6.944000000000002</v>
      </c>
      <c r="AN180" s="347"/>
      <c r="AO180" s="347"/>
      <c r="AP180" s="347"/>
      <c r="AQ180" s="347"/>
      <c r="AR180" s="347"/>
      <c r="AS180" s="347"/>
      <c r="AT180" s="347"/>
      <c r="AU180" s="348">
        <v>3614.199</v>
      </c>
      <c r="AV180" s="356">
        <v>0.29</v>
      </c>
      <c r="AW180" s="301">
        <v>1589.3</v>
      </c>
      <c r="AX180" s="357">
        <v>51.04</v>
      </c>
      <c r="AY180" s="357">
        <v>41</v>
      </c>
      <c r="AZ180" s="357">
        <v>7.96</v>
      </c>
      <c r="BA180" s="357">
        <v>20</v>
      </c>
      <c r="BB180" s="357">
        <v>8.8</v>
      </c>
      <c r="BC180" s="357">
        <v>13</v>
      </c>
      <c r="BD180" s="357">
        <v>38.4</v>
      </c>
      <c r="BE180" s="357">
        <v>3.21</v>
      </c>
      <c r="BF180" s="357">
        <v>16.59</v>
      </c>
      <c r="BG180" s="342">
        <v>0</v>
      </c>
      <c r="BH180" s="363">
        <v>21576.3</v>
      </c>
      <c r="BI180" s="301"/>
      <c r="BJ180" s="301"/>
      <c r="BK180" s="301">
        <v>188.96</v>
      </c>
      <c r="BL180" s="301"/>
      <c r="BM180" s="301"/>
      <c r="BN180" s="301">
        <v>440.72</v>
      </c>
      <c r="BO180" s="301"/>
      <c r="BP180" s="335">
        <v>440.72</v>
      </c>
      <c r="BQ180" s="371">
        <v>7.02</v>
      </c>
      <c r="BR180" s="372"/>
      <c r="BS180" s="372"/>
      <c r="BT180" s="372">
        <v>36.3</v>
      </c>
      <c r="BU180" s="372"/>
      <c r="BV180" s="372"/>
      <c r="BW180" s="372">
        <v>2.15</v>
      </c>
      <c r="BX180" s="372"/>
      <c r="BY180" s="372"/>
      <c r="BZ180" s="372">
        <v>4.01</v>
      </c>
      <c r="CA180" s="372"/>
      <c r="CB180" s="373"/>
      <c r="CC180" s="387">
        <v>6.37</v>
      </c>
      <c r="CD180" s="388">
        <v>45.99</v>
      </c>
      <c r="CE180" s="388">
        <v>36.41</v>
      </c>
      <c r="CF180" s="388">
        <v>6</v>
      </c>
      <c r="CG180" s="389">
        <v>0.322</v>
      </c>
      <c r="CH180" s="389">
        <v>0.02</v>
      </c>
      <c r="CI180" s="390" t="s">
        <v>36</v>
      </c>
      <c r="CJ180" s="391">
        <v>0.071</v>
      </c>
    </row>
    <row r="181" spans="1:88" ht="16.5" customHeight="1">
      <c r="A181" s="592"/>
      <c r="B181" s="3" t="s">
        <v>25</v>
      </c>
      <c r="C181" s="363">
        <v>2442.04</v>
      </c>
      <c r="D181" s="301">
        <v>31</v>
      </c>
      <c r="E181" s="301">
        <v>367.55</v>
      </c>
      <c r="F181" s="301">
        <v>331.3</v>
      </c>
      <c r="G181" s="301">
        <v>36.25</v>
      </c>
      <c r="H181" s="301">
        <v>255</v>
      </c>
      <c r="I181" s="301">
        <v>29</v>
      </c>
      <c r="J181" s="301">
        <v>226.1</v>
      </c>
      <c r="K181" s="335"/>
      <c r="L181" s="363">
        <v>2586.7</v>
      </c>
      <c r="M181" s="301">
        <v>2557.9</v>
      </c>
      <c r="N181" s="301">
        <v>28.8</v>
      </c>
      <c r="O181" s="301"/>
      <c r="P181" s="301">
        <v>31</v>
      </c>
      <c r="Q181" s="301">
        <v>83.44193548387098</v>
      </c>
      <c r="R181" s="476">
        <v>1</v>
      </c>
      <c r="S181" s="301">
        <v>889.75</v>
      </c>
      <c r="T181" s="301">
        <v>8694.6</v>
      </c>
      <c r="U181" s="301">
        <v>21731</v>
      </c>
      <c r="V181" s="301"/>
      <c r="W181" s="301"/>
      <c r="X181" s="342">
        <v>1.16</v>
      </c>
      <c r="Y181" s="39"/>
      <c r="Z181" s="14"/>
      <c r="AA181" s="14"/>
      <c r="AB181" s="14"/>
      <c r="AC181" s="14"/>
      <c r="AD181" s="14"/>
      <c r="AE181" s="14"/>
      <c r="AF181" s="14"/>
      <c r="AG181" s="14"/>
      <c r="AH181" s="14"/>
      <c r="AI181" s="136"/>
      <c r="AJ181" s="14"/>
      <c r="AK181" s="55"/>
      <c r="AL181" s="346">
        <v>3433.716</v>
      </c>
      <c r="AM181" s="347">
        <v>12.656</v>
      </c>
      <c r="AN181" s="347"/>
      <c r="AO181" s="347"/>
      <c r="AP181" s="347"/>
      <c r="AQ181" s="347"/>
      <c r="AR181" s="347"/>
      <c r="AS181" s="347"/>
      <c r="AT181" s="347"/>
      <c r="AU181" s="348">
        <v>3421.06</v>
      </c>
      <c r="AV181" s="356">
        <v>0.29</v>
      </c>
      <c r="AW181" s="301">
        <v>1360</v>
      </c>
      <c r="AX181" s="357">
        <v>55</v>
      </c>
      <c r="AY181" s="357">
        <v>38.3</v>
      </c>
      <c r="AZ181" s="357">
        <v>6.7</v>
      </c>
      <c r="BA181" s="357">
        <v>19.3</v>
      </c>
      <c r="BB181" s="357">
        <v>3.2</v>
      </c>
      <c r="BC181" s="357">
        <v>7.8</v>
      </c>
      <c r="BD181" s="357">
        <v>43</v>
      </c>
      <c r="BE181" s="357">
        <v>7.8</v>
      </c>
      <c r="BF181" s="357">
        <v>18.9</v>
      </c>
      <c r="BG181" s="342">
        <v>0</v>
      </c>
      <c r="BH181" s="363">
        <v>24876.6</v>
      </c>
      <c r="BI181" s="301"/>
      <c r="BJ181" s="301"/>
      <c r="BK181" s="301">
        <v>189.1</v>
      </c>
      <c r="BL181" s="301"/>
      <c r="BM181" s="301"/>
      <c r="BN181" s="301">
        <v>336.1</v>
      </c>
      <c r="BO181" s="301"/>
      <c r="BP181" s="335">
        <v>336.1</v>
      </c>
      <c r="BQ181" s="371">
        <v>6.56</v>
      </c>
      <c r="BR181" s="372"/>
      <c r="BS181" s="372"/>
      <c r="BT181" s="372">
        <v>36.41</v>
      </c>
      <c r="BU181" s="372"/>
      <c r="BV181" s="372"/>
      <c r="BW181" s="372">
        <v>2.02</v>
      </c>
      <c r="BX181" s="372"/>
      <c r="BY181" s="372"/>
      <c r="BZ181" s="372">
        <v>14.63</v>
      </c>
      <c r="CA181" s="372"/>
      <c r="CB181" s="373"/>
      <c r="CC181" s="387">
        <v>7.78</v>
      </c>
      <c r="CD181" s="388">
        <v>57.3</v>
      </c>
      <c r="CE181" s="388">
        <v>38.9</v>
      </c>
      <c r="CF181" s="388">
        <v>8</v>
      </c>
      <c r="CG181" s="389">
        <v>0.317</v>
      </c>
      <c r="CH181" s="389">
        <v>0.026</v>
      </c>
      <c r="CI181" s="390" t="s">
        <v>36</v>
      </c>
      <c r="CJ181" s="391">
        <v>0.074</v>
      </c>
    </row>
    <row r="182" spans="1:88" ht="16.5" customHeight="1">
      <c r="A182" s="592"/>
      <c r="B182" s="3" t="s">
        <v>26</v>
      </c>
      <c r="C182" s="363">
        <v>3010.95</v>
      </c>
      <c r="D182" s="301">
        <v>31</v>
      </c>
      <c r="E182" s="301">
        <v>484.52</v>
      </c>
      <c r="F182" s="301">
        <v>420.7</v>
      </c>
      <c r="G182" s="301">
        <v>63.82</v>
      </c>
      <c r="H182" s="301">
        <v>391</v>
      </c>
      <c r="I182" s="301">
        <v>38</v>
      </c>
      <c r="J182" s="301">
        <v>355.1</v>
      </c>
      <c r="K182" s="335"/>
      <c r="L182" s="363">
        <v>2483.08</v>
      </c>
      <c r="M182" s="301">
        <v>2447.68</v>
      </c>
      <c r="N182" s="301">
        <v>35.4</v>
      </c>
      <c r="O182" s="301"/>
      <c r="P182" s="301">
        <v>30.291666666666668</v>
      </c>
      <c r="Q182" s="301">
        <v>81.97237964236588</v>
      </c>
      <c r="R182" s="476">
        <v>0.9771505376344086</v>
      </c>
      <c r="S182" s="301">
        <v>891.08</v>
      </c>
      <c r="T182" s="301">
        <v>36153.5</v>
      </c>
      <c r="U182" s="301">
        <v>29360.7</v>
      </c>
      <c r="V182" s="301"/>
      <c r="W182" s="301"/>
      <c r="X182" s="342">
        <v>1.54</v>
      </c>
      <c r="Y182" s="39"/>
      <c r="Z182" s="14"/>
      <c r="AA182" s="14"/>
      <c r="AB182" s="14"/>
      <c r="AC182" s="14"/>
      <c r="AD182" s="14"/>
      <c r="AE182" s="14"/>
      <c r="AF182" s="14"/>
      <c r="AG182" s="14"/>
      <c r="AH182" s="14"/>
      <c r="AI182" s="136"/>
      <c r="AJ182" s="14"/>
      <c r="AK182" s="55"/>
      <c r="AL182" s="346">
        <v>3802.567</v>
      </c>
      <c r="AM182" s="347">
        <v>7.743999999999998</v>
      </c>
      <c r="AN182" s="347"/>
      <c r="AO182" s="347"/>
      <c r="AP182" s="347"/>
      <c r="AQ182" s="347"/>
      <c r="AR182" s="347"/>
      <c r="AS182" s="347"/>
      <c r="AT182" s="347"/>
      <c r="AU182" s="348">
        <v>3794.823</v>
      </c>
      <c r="AV182" s="356">
        <v>0.27</v>
      </c>
      <c r="AW182" s="301">
        <v>1467</v>
      </c>
      <c r="AX182" s="357">
        <v>52.8</v>
      </c>
      <c r="AY182" s="357">
        <v>39.3</v>
      </c>
      <c r="AZ182" s="357">
        <v>7.9</v>
      </c>
      <c r="BA182" s="357">
        <v>16.4</v>
      </c>
      <c r="BB182" s="357">
        <v>12</v>
      </c>
      <c r="BC182" s="357">
        <v>9.3</v>
      </c>
      <c r="BD182" s="357">
        <v>50.1</v>
      </c>
      <c r="BE182" s="357">
        <v>5.1</v>
      </c>
      <c r="BF182" s="357">
        <v>7.1</v>
      </c>
      <c r="BG182" s="342">
        <v>0</v>
      </c>
      <c r="BH182" s="363">
        <v>22287</v>
      </c>
      <c r="BI182" s="301"/>
      <c r="BJ182" s="301"/>
      <c r="BK182" s="301">
        <v>195.2</v>
      </c>
      <c r="BL182" s="301"/>
      <c r="BM182" s="301"/>
      <c r="BN182" s="301">
        <v>412.6</v>
      </c>
      <c r="BO182" s="301"/>
      <c r="BP182" s="335">
        <v>412.6</v>
      </c>
      <c r="BQ182" s="371">
        <v>5.6</v>
      </c>
      <c r="BR182" s="372"/>
      <c r="BS182" s="372"/>
      <c r="BT182" s="372">
        <v>34.9</v>
      </c>
      <c r="BU182" s="372"/>
      <c r="BV182" s="372"/>
      <c r="BW182" s="372">
        <v>1.9</v>
      </c>
      <c r="BX182" s="372"/>
      <c r="BY182" s="372"/>
      <c r="BZ182" s="372">
        <v>17</v>
      </c>
      <c r="CA182" s="372"/>
      <c r="CB182" s="373"/>
      <c r="CC182" s="387">
        <v>7.85</v>
      </c>
      <c r="CD182" s="388">
        <v>72.35</v>
      </c>
      <c r="CE182" s="388">
        <v>45.16</v>
      </c>
      <c r="CF182" s="388">
        <v>10</v>
      </c>
      <c r="CG182" s="389">
        <v>0.071</v>
      </c>
      <c r="CH182" s="389">
        <v>0.031</v>
      </c>
      <c r="CI182" s="390" t="s">
        <v>36</v>
      </c>
      <c r="CJ182" s="391">
        <v>0.057</v>
      </c>
    </row>
    <row r="183" spans="1:88" ht="16.5" customHeight="1">
      <c r="A183" s="592"/>
      <c r="B183" s="3" t="s">
        <v>27</v>
      </c>
      <c r="C183" s="363">
        <v>2590.83</v>
      </c>
      <c r="D183" s="301">
        <v>30</v>
      </c>
      <c r="E183" s="301">
        <v>375.2</v>
      </c>
      <c r="F183" s="301">
        <v>324.89</v>
      </c>
      <c r="G183" s="301">
        <v>50.31</v>
      </c>
      <c r="H183" s="301">
        <v>190</v>
      </c>
      <c r="I183" s="301"/>
      <c r="J183" s="301">
        <v>189.9</v>
      </c>
      <c r="K183" s="335"/>
      <c r="L183" s="363">
        <v>1599.86</v>
      </c>
      <c r="M183" s="301">
        <v>1599.86</v>
      </c>
      <c r="N183" s="301"/>
      <c r="O183" s="301"/>
      <c r="P183" s="301">
        <v>19.25</v>
      </c>
      <c r="Q183" s="301">
        <v>83.10961038961038</v>
      </c>
      <c r="R183" s="476">
        <v>0.6416666666666667</v>
      </c>
      <c r="S183" s="301">
        <v>912.9</v>
      </c>
      <c r="T183" s="301">
        <v>15268.7</v>
      </c>
      <c r="U183" s="301">
        <v>17389.3</v>
      </c>
      <c r="V183" s="301"/>
      <c r="W183" s="301"/>
      <c r="X183" s="342">
        <v>1.68</v>
      </c>
      <c r="Y183" s="39"/>
      <c r="Z183" s="14"/>
      <c r="AA183" s="14"/>
      <c r="AB183" s="14"/>
      <c r="AC183" s="14"/>
      <c r="AD183" s="14"/>
      <c r="AE183" s="14"/>
      <c r="AF183" s="14"/>
      <c r="AG183" s="14"/>
      <c r="AH183" s="14"/>
      <c r="AI183" s="136"/>
      <c r="AJ183" s="14"/>
      <c r="AK183" s="55"/>
      <c r="AL183" s="346">
        <v>2508.5203</v>
      </c>
      <c r="AM183" s="347">
        <v>7.504000000000001</v>
      </c>
      <c r="AN183" s="347"/>
      <c r="AO183" s="347"/>
      <c r="AP183" s="347"/>
      <c r="AQ183" s="347"/>
      <c r="AR183" s="347"/>
      <c r="AS183" s="347"/>
      <c r="AT183" s="347"/>
      <c r="AU183" s="348">
        <v>2501.0163000000002</v>
      </c>
      <c r="AV183" s="356">
        <v>0.26</v>
      </c>
      <c r="AW183" s="301">
        <v>1564</v>
      </c>
      <c r="AX183" s="357">
        <v>51.3</v>
      </c>
      <c r="AY183" s="357">
        <v>42.2</v>
      </c>
      <c r="AZ183" s="357">
        <v>6.6</v>
      </c>
      <c r="BA183" s="357">
        <v>18.9</v>
      </c>
      <c r="BB183" s="357">
        <v>8.8</v>
      </c>
      <c r="BC183" s="357">
        <v>7.1</v>
      </c>
      <c r="BD183" s="357">
        <v>49.6</v>
      </c>
      <c r="BE183" s="357">
        <v>8.4</v>
      </c>
      <c r="BF183" s="357">
        <v>7.2</v>
      </c>
      <c r="BG183" s="342">
        <v>0</v>
      </c>
      <c r="BH183" s="363">
        <v>23138.8</v>
      </c>
      <c r="BI183" s="301"/>
      <c r="BJ183" s="301"/>
      <c r="BK183" s="301">
        <v>200.6</v>
      </c>
      <c r="BL183" s="301"/>
      <c r="BM183" s="301"/>
      <c r="BN183" s="301">
        <v>569.4</v>
      </c>
      <c r="BO183" s="301"/>
      <c r="BP183" s="335">
        <v>569.4</v>
      </c>
      <c r="BQ183" s="371">
        <v>8.14</v>
      </c>
      <c r="BR183" s="372"/>
      <c r="BS183" s="372"/>
      <c r="BT183" s="372">
        <v>40.96</v>
      </c>
      <c r="BU183" s="372"/>
      <c r="BV183" s="372"/>
      <c r="BW183" s="372">
        <v>1.46</v>
      </c>
      <c r="BX183" s="372"/>
      <c r="BY183" s="372"/>
      <c r="BZ183" s="372">
        <v>12.19</v>
      </c>
      <c r="CA183" s="372"/>
      <c r="CB183" s="373"/>
      <c r="CC183" s="387">
        <v>7.55</v>
      </c>
      <c r="CD183" s="388">
        <v>38.5</v>
      </c>
      <c r="CE183" s="388">
        <v>26.9</v>
      </c>
      <c r="CF183" s="388">
        <v>17</v>
      </c>
      <c r="CG183" s="389">
        <v>0.113</v>
      </c>
      <c r="CH183" s="389">
        <v>0.201</v>
      </c>
      <c r="CI183" s="390" t="s">
        <v>36</v>
      </c>
      <c r="CJ183" s="391">
        <v>0.054</v>
      </c>
    </row>
    <row r="184" spans="1:88" ht="16.5" customHeight="1">
      <c r="A184" s="592"/>
      <c r="B184" s="3" t="s">
        <v>28</v>
      </c>
      <c r="C184" s="363">
        <v>1694.76</v>
      </c>
      <c r="D184" s="301">
        <v>21</v>
      </c>
      <c r="E184" s="301">
        <v>220.73</v>
      </c>
      <c r="F184" s="301">
        <v>187</v>
      </c>
      <c r="G184" s="301">
        <v>33.73</v>
      </c>
      <c r="H184" s="301">
        <v>68</v>
      </c>
      <c r="I184" s="301"/>
      <c r="J184" s="301">
        <v>67.83</v>
      </c>
      <c r="K184" s="335"/>
      <c r="L184" s="363">
        <v>1694.76</v>
      </c>
      <c r="M184" s="301">
        <v>1694.76</v>
      </c>
      <c r="N184" s="301"/>
      <c r="O184" s="301"/>
      <c r="P184" s="301">
        <v>19.916666666666668</v>
      </c>
      <c r="Q184" s="301">
        <v>85.09255230125522</v>
      </c>
      <c r="R184" s="476">
        <v>0.6424731182795699</v>
      </c>
      <c r="S184" s="301">
        <v>930.15</v>
      </c>
      <c r="T184" s="301">
        <v>13782.1</v>
      </c>
      <c r="U184" s="301">
        <v>17929.9</v>
      </c>
      <c r="V184" s="301"/>
      <c r="W184" s="301"/>
      <c r="X184" s="342">
        <v>1.97</v>
      </c>
      <c r="Y184" s="39"/>
      <c r="Z184" s="14"/>
      <c r="AA184" s="14"/>
      <c r="AB184" s="14"/>
      <c r="AC184" s="14"/>
      <c r="AD184" s="14"/>
      <c r="AE184" s="14"/>
      <c r="AF184" s="14"/>
      <c r="AG184" s="14"/>
      <c r="AH184" s="14"/>
      <c r="AI184" s="136"/>
      <c r="AJ184" s="14"/>
      <c r="AK184" s="55"/>
      <c r="AL184" s="346">
        <v>2719.359</v>
      </c>
      <c r="AM184" s="347">
        <v>13.48</v>
      </c>
      <c r="AN184" s="347"/>
      <c r="AO184" s="347"/>
      <c r="AP184" s="347"/>
      <c r="AQ184" s="347"/>
      <c r="AR184" s="347"/>
      <c r="AS184" s="347"/>
      <c r="AT184" s="347"/>
      <c r="AU184" s="348">
        <v>2705.879</v>
      </c>
      <c r="AV184" s="356">
        <v>0.24</v>
      </c>
      <c r="AW184" s="301">
        <v>1700</v>
      </c>
      <c r="AX184" s="357">
        <v>48.9</v>
      </c>
      <c r="AY184" s="357">
        <v>45.2</v>
      </c>
      <c r="AZ184" s="357">
        <v>5.9</v>
      </c>
      <c r="BA184" s="357">
        <v>32.5</v>
      </c>
      <c r="BB184" s="357">
        <v>7.7</v>
      </c>
      <c r="BC184" s="357">
        <v>16.8</v>
      </c>
      <c r="BD184" s="357">
        <v>33.9</v>
      </c>
      <c r="BE184" s="357">
        <v>5.4</v>
      </c>
      <c r="BF184" s="357">
        <v>3.7</v>
      </c>
      <c r="BG184" s="342">
        <v>0</v>
      </c>
      <c r="BH184" s="363">
        <v>22413.2</v>
      </c>
      <c r="BI184" s="301"/>
      <c r="BJ184" s="301"/>
      <c r="BK184" s="301">
        <v>208.6</v>
      </c>
      <c r="BL184" s="301"/>
      <c r="BM184" s="301"/>
      <c r="BN184" s="301">
        <v>542.6</v>
      </c>
      <c r="BO184" s="301"/>
      <c r="BP184" s="335">
        <v>542.6</v>
      </c>
      <c r="BQ184" s="371">
        <v>5.11</v>
      </c>
      <c r="BR184" s="372"/>
      <c r="BS184" s="372"/>
      <c r="BT184" s="372">
        <v>27.78</v>
      </c>
      <c r="BU184" s="372"/>
      <c r="BV184" s="372"/>
      <c r="BW184" s="372">
        <v>2.48</v>
      </c>
      <c r="BX184" s="372"/>
      <c r="BY184" s="372"/>
      <c r="BZ184" s="372">
        <v>2.29</v>
      </c>
      <c r="CA184" s="372"/>
      <c r="CB184" s="373"/>
      <c r="CC184" s="387">
        <v>6.36</v>
      </c>
      <c r="CD184" s="388">
        <v>24.8</v>
      </c>
      <c r="CE184" s="388">
        <v>9.7</v>
      </c>
      <c r="CF184" s="388">
        <v>5</v>
      </c>
      <c r="CG184" s="389">
        <v>0.123</v>
      </c>
      <c r="CH184" s="389">
        <v>0.201</v>
      </c>
      <c r="CI184" s="390" t="s">
        <v>36</v>
      </c>
      <c r="CJ184" s="391">
        <v>0.063</v>
      </c>
    </row>
    <row r="185" spans="1:88" ht="16.5" customHeight="1">
      <c r="A185" s="592"/>
      <c r="B185" s="3" t="s">
        <v>29</v>
      </c>
      <c r="C185" s="363">
        <v>2650.1</v>
      </c>
      <c r="D185" s="301">
        <v>30</v>
      </c>
      <c r="E185" s="301">
        <v>373.1</v>
      </c>
      <c r="F185" s="301">
        <v>312</v>
      </c>
      <c r="G185" s="301">
        <v>61.1</v>
      </c>
      <c r="H185" s="301">
        <v>49</v>
      </c>
      <c r="I185" s="301">
        <v>7.2</v>
      </c>
      <c r="J185" s="301">
        <v>42</v>
      </c>
      <c r="K185" s="335"/>
      <c r="L185" s="363">
        <v>2345.7</v>
      </c>
      <c r="M185" s="301">
        <v>2338.5</v>
      </c>
      <c r="N185" s="301">
        <v>7.2</v>
      </c>
      <c r="O185" s="301"/>
      <c r="P185" s="301">
        <v>28.041666666666668</v>
      </c>
      <c r="Q185" s="301">
        <v>83.65052005943535</v>
      </c>
      <c r="R185" s="476">
        <v>0.9347222222222222</v>
      </c>
      <c r="S185" s="301">
        <v>937.2</v>
      </c>
      <c r="T185" s="301">
        <v>14418</v>
      </c>
      <c r="U185" s="301">
        <v>42028</v>
      </c>
      <c r="V185" s="301"/>
      <c r="W185" s="301"/>
      <c r="X185" s="342">
        <v>1.54</v>
      </c>
      <c r="Y185" s="39"/>
      <c r="Z185" s="14"/>
      <c r="AA185" s="14"/>
      <c r="AB185" s="14"/>
      <c r="AC185" s="14"/>
      <c r="AD185" s="14"/>
      <c r="AE185" s="14"/>
      <c r="AF185" s="14"/>
      <c r="AG185" s="14"/>
      <c r="AH185" s="14"/>
      <c r="AI185" s="136"/>
      <c r="AJ185" s="14"/>
      <c r="AK185" s="55"/>
      <c r="AL185" s="346">
        <v>3227.613</v>
      </c>
      <c r="AM185" s="347">
        <v>24.992</v>
      </c>
      <c r="AN185" s="347"/>
      <c r="AO185" s="347"/>
      <c r="AP185" s="347"/>
      <c r="AQ185" s="347"/>
      <c r="AR185" s="347"/>
      <c r="AS185" s="347"/>
      <c r="AT185" s="347"/>
      <c r="AU185" s="348">
        <v>3202.6209999999996</v>
      </c>
      <c r="AV185" s="356">
        <v>0.25</v>
      </c>
      <c r="AW185" s="301">
        <v>1581</v>
      </c>
      <c r="AX185" s="357">
        <v>53.3</v>
      </c>
      <c r="AY185" s="357">
        <v>41.8</v>
      </c>
      <c r="AZ185" s="357">
        <v>4.9</v>
      </c>
      <c r="BA185" s="357">
        <v>12.6</v>
      </c>
      <c r="BB185" s="357">
        <v>8.4</v>
      </c>
      <c r="BC185" s="357">
        <v>19.2</v>
      </c>
      <c r="BD185" s="357">
        <v>44.6</v>
      </c>
      <c r="BE185" s="357">
        <v>12.7</v>
      </c>
      <c r="BF185" s="357">
        <v>2.5</v>
      </c>
      <c r="BG185" s="342">
        <v>0</v>
      </c>
      <c r="BH185" s="363">
        <v>22708.6</v>
      </c>
      <c r="BI185" s="301"/>
      <c r="BJ185" s="301"/>
      <c r="BK185" s="301">
        <v>205.4</v>
      </c>
      <c r="BL185" s="301"/>
      <c r="BM185" s="301"/>
      <c r="BN185" s="301">
        <v>520</v>
      </c>
      <c r="BO185" s="301"/>
      <c r="BP185" s="335">
        <v>520</v>
      </c>
      <c r="BQ185" s="371">
        <v>10.01</v>
      </c>
      <c r="BR185" s="372"/>
      <c r="BS185" s="372"/>
      <c r="BT185" s="372">
        <v>53</v>
      </c>
      <c r="BU185" s="372"/>
      <c r="BV185" s="372"/>
      <c r="BW185" s="372">
        <v>1.28</v>
      </c>
      <c r="BX185" s="372"/>
      <c r="BY185" s="372"/>
      <c r="BZ185" s="372">
        <v>5.35</v>
      </c>
      <c r="CA185" s="372"/>
      <c r="CB185" s="373"/>
      <c r="CC185" s="387">
        <v>6.11</v>
      </c>
      <c r="CD185" s="388">
        <v>28.4</v>
      </c>
      <c r="CE185" s="388">
        <v>15.9</v>
      </c>
      <c r="CF185" s="388">
        <v>2</v>
      </c>
      <c r="CG185" s="389">
        <v>0.137</v>
      </c>
      <c r="CH185" s="389">
        <v>0.025</v>
      </c>
      <c r="CI185" s="390" t="s">
        <v>36</v>
      </c>
      <c r="CJ185" s="391">
        <v>0.048</v>
      </c>
    </row>
    <row r="186" spans="1:88" ht="16.5" customHeight="1" thickBot="1">
      <c r="A186" s="593"/>
      <c r="B186" s="4" t="s">
        <v>30</v>
      </c>
      <c r="C186" s="364">
        <v>2368.3</v>
      </c>
      <c r="D186" s="336">
        <v>31</v>
      </c>
      <c r="E186" s="336">
        <v>494.6</v>
      </c>
      <c r="F186" s="336">
        <v>445.5</v>
      </c>
      <c r="G186" s="336">
        <v>49.1</v>
      </c>
      <c r="H186" s="336">
        <v>27</v>
      </c>
      <c r="I186" s="336">
        <v>13.3</v>
      </c>
      <c r="J186" s="336">
        <v>13.3</v>
      </c>
      <c r="K186" s="337"/>
      <c r="L186" s="364">
        <v>2391</v>
      </c>
      <c r="M186" s="336">
        <v>2377.7</v>
      </c>
      <c r="N186" s="336">
        <v>13.3</v>
      </c>
      <c r="O186" s="336"/>
      <c r="P186" s="336">
        <v>31</v>
      </c>
      <c r="Q186" s="336">
        <v>77.12903225806451</v>
      </c>
      <c r="R186" s="477">
        <v>1</v>
      </c>
      <c r="S186" s="336">
        <v>912</v>
      </c>
      <c r="T186" s="336">
        <v>51304</v>
      </c>
      <c r="U186" s="336">
        <v>46531</v>
      </c>
      <c r="V186" s="336"/>
      <c r="W186" s="336"/>
      <c r="X186" s="343">
        <v>1.95</v>
      </c>
      <c r="Y186" s="40"/>
      <c r="Z186" s="15"/>
      <c r="AA186" s="15"/>
      <c r="AB186" s="15"/>
      <c r="AC186" s="15"/>
      <c r="AD186" s="15"/>
      <c r="AE186" s="15"/>
      <c r="AF186" s="15"/>
      <c r="AG186" s="15"/>
      <c r="AH186" s="15"/>
      <c r="AI186" s="246"/>
      <c r="AJ186" s="15"/>
      <c r="AK186" s="71"/>
      <c r="AL186" s="349">
        <v>3262.2969999999996</v>
      </c>
      <c r="AM186" s="350">
        <v>26.544000000000008</v>
      </c>
      <c r="AN186" s="350"/>
      <c r="AO186" s="350"/>
      <c r="AP186" s="350"/>
      <c r="AQ186" s="350"/>
      <c r="AR186" s="350"/>
      <c r="AS186" s="350"/>
      <c r="AT186" s="350"/>
      <c r="AU186" s="351">
        <v>3235.7529999999997</v>
      </c>
      <c r="AV186" s="358">
        <v>0.29</v>
      </c>
      <c r="AW186" s="336">
        <v>1302</v>
      </c>
      <c r="AX186" s="359">
        <v>63.3</v>
      </c>
      <c r="AY186" s="359">
        <v>33.5</v>
      </c>
      <c r="AZ186" s="359">
        <v>3.2</v>
      </c>
      <c r="BA186" s="359">
        <v>14</v>
      </c>
      <c r="BB186" s="359">
        <v>6.7</v>
      </c>
      <c r="BC186" s="359">
        <v>17.8</v>
      </c>
      <c r="BD186" s="359">
        <v>50.2</v>
      </c>
      <c r="BE186" s="359">
        <v>6.7</v>
      </c>
      <c r="BF186" s="359">
        <v>4.6</v>
      </c>
      <c r="BG186" s="343">
        <v>0</v>
      </c>
      <c r="BH186" s="364">
        <v>22382.5</v>
      </c>
      <c r="BI186" s="336"/>
      <c r="BJ186" s="336"/>
      <c r="BK186" s="336">
        <v>204.6</v>
      </c>
      <c r="BL186" s="336"/>
      <c r="BM186" s="336"/>
      <c r="BN186" s="336">
        <v>580</v>
      </c>
      <c r="BO186" s="336"/>
      <c r="BP186" s="337">
        <v>580</v>
      </c>
      <c r="BQ186" s="374">
        <v>5.28</v>
      </c>
      <c r="BR186" s="375"/>
      <c r="BS186" s="375"/>
      <c r="BT186" s="375">
        <v>26.24</v>
      </c>
      <c r="BU186" s="375"/>
      <c r="BV186" s="375"/>
      <c r="BW186" s="375">
        <v>0.09</v>
      </c>
      <c r="BX186" s="375"/>
      <c r="BY186" s="375"/>
      <c r="BZ186" s="375">
        <v>5.3</v>
      </c>
      <c r="CA186" s="375"/>
      <c r="CB186" s="376"/>
      <c r="CC186" s="392">
        <v>6.93</v>
      </c>
      <c r="CD186" s="393">
        <v>7.7</v>
      </c>
      <c r="CE186" s="393">
        <v>20.9</v>
      </c>
      <c r="CF186" s="393">
        <v>15</v>
      </c>
      <c r="CG186" s="394">
        <v>0.05</v>
      </c>
      <c r="CH186" s="395" t="s">
        <v>36</v>
      </c>
      <c r="CI186" s="395" t="s">
        <v>36</v>
      </c>
      <c r="CJ186" s="396">
        <v>0.022</v>
      </c>
    </row>
    <row r="187" spans="1:96" ht="16.5" customHeight="1">
      <c r="A187" s="590" t="s">
        <v>47</v>
      </c>
      <c r="B187" s="2" t="s">
        <v>48</v>
      </c>
      <c r="C187" s="463">
        <f aca="true" t="shared" si="106" ref="C187:J187">SUM(C188:C199)</f>
        <v>114872.97</v>
      </c>
      <c r="D187" s="47">
        <f t="shared" si="106"/>
        <v>365</v>
      </c>
      <c r="E187" s="47">
        <f t="shared" si="106"/>
        <v>18435.260000000002</v>
      </c>
      <c r="F187" s="47">
        <f t="shared" si="106"/>
        <v>16541.47</v>
      </c>
      <c r="G187" s="47">
        <f t="shared" si="106"/>
        <v>1893.79</v>
      </c>
      <c r="H187" s="47">
        <f t="shared" si="106"/>
        <v>6407</v>
      </c>
      <c r="I187" s="47">
        <f t="shared" si="106"/>
        <v>5665.290000000001</v>
      </c>
      <c r="J187" s="47">
        <f t="shared" si="106"/>
        <v>742</v>
      </c>
      <c r="K187" s="48"/>
      <c r="L187" s="52">
        <f>SUM(L188:L199)</f>
        <v>52787.56</v>
      </c>
      <c r="M187" s="47">
        <f>SUM(M188:M199)</f>
        <v>50349.27</v>
      </c>
      <c r="N187" s="47">
        <f>SUM(N188:N199)</f>
        <v>2438.29</v>
      </c>
      <c r="O187" s="47"/>
      <c r="P187" s="47">
        <f>SUM(P188:P199)</f>
        <v>296</v>
      </c>
      <c r="Q187" s="47"/>
      <c r="R187" s="47"/>
      <c r="S187" s="47">
        <f>AVERAGE(S188:S199)</f>
        <v>921.6666666666666</v>
      </c>
      <c r="T187" s="47"/>
      <c r="U187" s="47"/>
      <c r="V187" s="47">
        <f>SUM(V188:V199)</f>
        <v>62521</v>
      </c>
      <c r="W187" s="47"/>
      <c r="X187" s="53">
        <v>3.6</v>
      </c>
      <c r="Y187" s="613">
        <f>SUM(Y188:Y199)</f>
        <v>49248.06000000001</v>
      </c>
      <c r="Z187" s="344">
        <f>SUM(Z188:Z199)</f>
        <v>46021.060000000005</v>
      </c>
      <c r="AA187" s="344">
        <f>SUM(AA188:AA199)</f>
        <v>3227</v>
      </c>
      <c r="AB187" s="344"/>
      <c r="AC187" s="344">
        <f>SUM(AC188:AC199)</f>
        <v>256</v>
      </c>
      <c r="AD187" s="344"/>
      <c r="AE187" s="344"/>
      <c r="AF187" s="344">
        <f>AVERAGE(AF188:AF199)</f>
        <v>926.7777777777778</v>
      </c>
      <c r="AG187" s="344"/>
      <c r="AH187" s="344"/>
      <c r="AI187" s="344">
        <f>SUM(AI188:AI199)</f>
        <v>15643</v>
      </c>
      <c r="AJ187" s="344"/>
      <c r="AK187" s="401">
        <v>3.6</v>
      </c>
      <c r="AL187" s="49">
        <f>SUM(AL188:AL199)</f>
        <v>185258</v>
      </c>
      <c r="AM187" s="50"/>
      <c r="AN187" s="50"/>
      <c r="AO187" s="50">
        <f>SUM(AO188:AO199)</f>
        <v>79707</v>
      </c>
      <c r="AP187" s="50">
        <f>SUM(AP188:AP199)</f>
        <v>6245.9310000000005</v>
      </c>
      <c r="AQ187" s="50">
        <f>SUM(AQ188:AQ199)</f>
        <v>6245.9310000000005</v>
      </c>
      <c r="AR187" s="50"/>
      <c r="AS187" s="50"/>
      <c r="AT187" s="50"/>
      <c r="AU187" s="51">
        <f>SUM(AU188:AU199)</f>
        <v>105551</v>
      </c>
      <c r="AV187" s="37">
        <f aca="true" t="shared" si="107" ref="AV187:BF187">AVERAGE(AV188:AV199)</f>
        <v>0.3325</v>
      </c>
      <c r="AW187" s="47">
        <f t="shared" si="107"/>
        <v>1563.4166666666667</v>
      </c>
      <c r="AX187" s="20">
        <f t="shared" si="107"/>
        <v>51.70591666666666</v>
      </c>
      <c r="AY187" s="20">
        <f t="shared" si="107"/>
        <v>37.96999999999999</v>
      </c>
      <c r="AZ187" s="20">
        <f t="shared" si="107"/>
        <v>10.3225</v>
      </c>
      <c r="BA187" s="20">
        <f t="shared" si="107"/>
        <v>24.260833333333334</v>
      </c>
      <c r="BB187" s="20">
        <f t="shared" si="107"/>
        <v>2.7999999999999994</v>
      </c>
      <c r="BC187" s="20">
        <f t="shared" si="107"/>
        <v>17.17</v>
      </c>
      <c r="BD187" s="20">
        <f t="shared" si="107"/>
        <v>45.74333333333333</v>
      </c>
      <c r="BE187" s="20">
        <f t="shared" si="107"/>
        <v>3.4891666666666663</v>
      </c>
      <c r="BF187" s="20">
        <f t="shared" si="107"/>
        <v>6.536666666666666</v>
      </c>
      <c r="BG187" s="53"/>
      <c r="BH187" s="52">
        <f>AVERAGE(BH188:BH199)</f>
        <v>43253.40427188388</v>
      </c>
      <c r="BI187" s="47">
        <f>AVERAGE(BI188:BI199)</f>
        <v>43093.125</v>
      </c>
      <c r="BJ187" s="47"/>
      <c r="BK187" s="47">
        <f>AVERAGE(BK188:BK199)</f>
        <v>157</v>
      </c>
      <c r="BL187" s="47">
        <f>AVERAGE(BL188:BL199)</f>
        <v>169.9</v>
      </c>
      <c r="BM187" s="47"/>
      <c r="BN187" s="12">
        <f>SUM(BN188:BN199)</f>
        <v>14170</v>
      </c>
      <c r="BO187" s="47"/>
      <c r="BP187" s="48">
        <f>SUM(BP188:BP199)</f>
        <v>14170</v>
      </c>
      <c r="BQ187" s="23">
        <f>AVERAGE(BQ188:BQ199)</f>
        <v>4.367500000000001</v>
      </c>
      <c r="BR187" s="24">
        <f>AVERAGE(BR188:BR199)</f>
        <v>9.28375</v>
      </c>
      <c r="BS187" s="24"/>
      <c r="BT187" s="24">
        <f>AVERAGE(BT188:BT199)</f>
        <v>39.92</v>
      </c>
      <c r="BU187" s="24">
        <f>AVERAGE(BU188:BU199)</f>
        <v>48.50124999999999</v>
      </c>
      <c r="BV187" s="24"/>
      <c r="BW187" s="24">
        <f>AVERAGE(BW188:BW199)</f>
        <v>3.53</v>
      </c>
      <c r="BX187" s="24">
        <f>AVERAGE(BX188:BX199)</f>
        <v>9.12625</v>
      </c>
      <c r="BY187" s="24"/>
      <c r="BZ187" s="24">
        <f>AVERAGE(BZ188:BZ199)</f>
        <v>9.596666666666668</v>
      </c>
      <c r="CA187" s="24">
        <f>AVERAGE(CA188:CA199)</f>
        <v>11.3825</v>
      </c>
      <c r="CB187" s="25"/>
      <c r="CC187" s="23">
        <v>7.667291666666666</v>
      </c>
      <c r="CD187" s="24">
        <v>4.281875</v>
      </c>
      <c r="CE187" s="24">
        <v>8.888125</v>
      </c>
      <c r="CF187" s="24">
        <v>10.434375</v>
      </c>
      <c r="CG187" s="56">
        <v>0.05602083333333333</v>
      </c>
      <c r="CH187" s="56">
        <v>0.013770833333333333</v>
      </c>
      <c r="CI187" s="56">
        <v>0.005687499999999999</v>
      </c>
      <c r="CJ187" s="57">
        <v>0.010895833333333334</v>
      </c>
      <c r="CK187" s="29"/>
      <c r="CL187" s="29"/>
      <c r="CM187" s="29"/>
      <c r="CN187" s="29"/>
      <c r="CO187" s="45"/>
      <c r="CP187" s="45"/>
      <c r="CQ187" s="45"/>
      <c r="CR187" s="45"/>
    </row>
    <row r="188" spans="1:96" ht="16.5" customHeight="1">
      <c r="A188" s="591"/>
      <c r="B188" s="3" t="s">
        <v>19</v>
      </c>
      <c r="C188" s="273">
        <v>8069.69</v>
      </c>
      <c r="D188" s="14">
        <v>31</v>
      </c>
      <c r="E188" s="14">
        <f aca="true" t="shared" si="108" ref="E188:E199">F188+G188</f>
        <v>1088.81</v>
      </c>
      <c r="F188" s="14">
        <v>973.3</v>
      </c>
      <c r="G188" s="14">
        <v>115.51</v>
      </c>
      <c r="H188" s="14">
        <v>153</v>
      </c>
      <c r="I188" s="14">
        <v>153.32</v>
      </c>
      <c r="J188" s="14"/>
      <c r="K188" s="18"/>
      <c r="L188" s="39">
        <f aca="true" t="shared" si="109" ref="L188:L199">M188+N188</f>
        <v>4555.03</v>
      </c>
      <c r="M188" s="14">
        <v>4401.71</v>
      </c>
      <c r="N188" s="14">
        <v>153.32</v>
      </c>
      <c r="O188" s="14"/>
      <c r="P188" s="14">
        <v>30</v>
      </c>
      <c r="Q188" s="14"/>
      <c r="R188" s="14"/>
      <c r="S188" s="14">
        <v>913</v>
      </c>
      <c r="T188" s="14"/>
      <c r="U188" s="14"/>
      <c r="V188" s="14">
        <v>2054</v>
      </c>
      <c r="W188" s="14"/>
      <c r="X188" s="55">
        <v>3.04</v>
      </c>
      <c r="Y188" s="95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89"/>
      <c r="AL188" s="38">
        <v>9966</v>
      </c>
      <c r="AM188" s="13"/>
      <c r="AN188" s="13"/>
      <c r="AO188" s="13">
        <v>4083</v>
      </c>
      <c r="AP188" s="13">
        <v>365.434</v>
      </c>
      <c r="AQ188" s="13">
        <v>365.434</v>
      </c>
      <c r="AR188" s="13"/>
      <c r="AS188" s="13"/>
      <c r="AT188" s="13"/>
      <c r="AU188" s="17">
        <v>5883</v>
      </c>
      <c r="AV188" s="35">
        <v>0.33</v>
      </c>
      <c r="AW188" s="13">
        <v>1720</v>
      </c>
      <c r="AX188" s="21">
        <v>46.25</v>
      </c>
      <c r="AY188" s="21">
        <v>43.92</v>
      </c>
      <c r="AZ188" s="21">
        <v>9.83</v>
      </c>
      <c r="BA188" s="21">
        <v>22.27</v>
      </c>
      <c r="BB188" s="21">
        <v>4.39</v>
      </c>
      <c r="BC188" s="21">
        <v>20.3</v>
      </c>
      <c r="BD188" s="21">
        <v>44.58</v>
      </c>
      <c r="BE188" s="21">
        <v>3.52</v>
      </c>
      <c r="BF188" s="21">
        <v>4.94</v>
      </c>
      <c r="BG188" s="54"/>
      <c r="BH188" s="13">
        <v>44788.63333333333</v>
      </c>
      <c r="BI188" s="13"/>
      <c r="BJ188" s="13"/>
      <c r="BK188" s="13">
        <v>156</v>
      </c>
      <c r="BL188" s="13"/>
      <c r="BM188" s="13"/>
      <c r="BN188" s="438">
        <f>+BO188+BP188</f>
        <v>523</v>
      </c>
      <c r="BO188" s="13"/>
      <c r="BP188" s="17">
        <v>523</v>
      </c>
      <c r="BQ188" s="26">
        <v>2.2</v>
      </c>
      <c r="BR188" s="27"/>
      <c r="BS188" s="27"/>
      <c r="BT188" s="27">
        <v>34.81</v>
      </c>
      <c r="BU188" s="27"/>
      <c r="BV188" s="27"/>
      <c r="BW188" s="27">
        <v>4.49</v>
      </c>
      <c r="BX188" s="27"/>
      <c r="BY188" s="27"/>
      <c r="BZ188" s="27">
        <v>16.72</v>
      </c>
      <c r="CA188" s="27"/>
      <c r="CB188" s="44"/>
      <c r="CC188" s="28">
        <v>7.6</v>
      </c>
      <c r="CD188" s="29">
        <v>3.9</v>
      </c>
      <c r="CE188" s="29">
        <v>6.7</v>
      </c>
      <c r="CF188" s="29">
        <v>7.5</v>
      </c>
      <c r="CG188" s="45">
        <v>0</v>
      </c>
      <c r="CH188" s="45">
        <v>0</v>
      </c>
      <c r="CI188" s="45">
        <v>0</v>
      </c>
      <c r="CJ188" s="46">
        <v>0</v>
      </c>
      <c r="CK188" s="29"/>
      <c r="CL188" s="29"/>
      <c r="CM188" s="29"/>
      <c r="CN188" s="29"/>
      <c r="CO188" s="45"/>
      <c r="CP188" s="45"/>
      <c r="CQ188" s="45"/>
      <c r="CR188" s="45"/>
    </row>
    <row r="189" spans="1:96" ht="16.5" customHeight="1">
      <c r="A189" s="591"/>
      <c r="B189" s="3" t="s">
        <v>20</v>
      </c>
      <c r="C189" s="273">
        <v>8116</v>
      </c>
      <c r="D189" s="14">
        <v>28</v>
      </c>
      <c r="E189" s="14">
        <f t="shared" si="108"/>
        <v>1107.5</v>
      </c>
      <c r="F189" s="14">
        <v>978.65</v>
      </c>
      <c r="G189" s="14">
        <v>128.85</v>
      </c>
      <c r="H189" s="14">
        <v>61</v>
      </c>
      <c r="I189" s="14">
        <v>61.15</v>
      </c>
      <c r="J189" s="14"/>
      <c r="K189" s="18"/>
      <c r="L189" s="39">
        <f t="shared" si="109"/>
        <v>2879.2400000000002</v>
      </c>
      <c r="M189" s="14">
        <v>2818.09</v>
      </c>
      <c r="N189" s="14">
        <v>61.15</v>
      </c>
      <c r="O189" s="14"/>
      <c r="P189" s="14">
        <v>21</v>
      </c>
      <c r="Q189" s="14"/>
      <c r="R189" s="14"/>
      <c r="S189" s="14">
        <v>924</v>
      </c>
      <c r="T189" s="14"/>
      <c r="U189" s="14"/>
      <c r="V189" s="14">
        <v>19155</v>
      </c>
      <c r="W189" s="14"/>
      <c r="X189" s="55">
        <v>1.56</v>
      </c>
      <c r="Y189" s="95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89"/>
      <c r="AL189" s="39">
        <v>6108</v>
      </c>
      <c r="AM189" s="14"/>
      <c r="AN189" s="14"/>
      <c r="AO189" s="14">
        <v>2490</v>
      </c>
      <c r="AP189" s="14">
        <v>251.602</v>
      </c>
      <c r="AQ189" s="14">
        <v>251.602</v>
      </c>
      <c r="AR189" s="14"/>
      <c r="AS189" s="14"/>
      <c r="AT189" s="14"/>
      <c r="AU189" s="18">
        <v>3618</v>
      </c>
      <c r="AV189" s="36">
        <v>0.35</v>
      </c>
      <c r="AW189" s="14">
        <v>1694</v>
      </c>
      <c r="AX189" s="22">
        <v>48.63</v>
      </c>
      <c r="AY189" s="22">
        <v>40.19</v>
      </c>
      <c r="AZ189" s="22">
        <v>11.18</v>
      </c>
      <c r="BA189" s="22">
        <v>26.19</v>
      </c>
      <c r="BB189" s="22">
        <v>4.78</v>
      </c>
      <c r="BC189" s="22">
        <v>16.2</v>
      </c>
      <c r="BD189" s="22">
        <v>44.1</v>
      </c>
      <c r="BE189" s="22">
        <v>2.95</v>
      </c>
      <c r="BF189" s="22">
        <v>5.77</v>
      </c>
      <c r="BG189" s="55"/>
      <c r="BH189" s="14">
        <v>35253.21052631579</v>
      </c>
      <c r="BI189" s="14"/>
      <c r="BJ189" s="14"/>
      <c r="BK189" s="14">
        <v>155</v>
      </c>
      <c r="BL189" s="14"/>
      <c r="BM189" s="14"/>
      <c r="BN189" s="274">
        <f>+BO189+BP189</f>
        <v>343</v>
      </c>
      <c r="BO189" s="14"/>
      <c r="BP189" s="18">
        <v>343</v>
      </c>
      <c r="BQ189" s="28">
        <v>2.54</v>
      </c>
      <c r="BR189" s="29"/>
      <c r="BS189" s="29"/>
      <c r="BT189" s="29">
        <v>30.9</v>
      </c>
      <c r="BU189" s="29"/>
      <c r="BV189" s="29"/>
      <c r="BW189" s="29">
        <v>3.58</v>
      </c>
      <c r="BX189" s="29"/>
      <c r="BY189" s="29"/>
      <c r="BZ189" s="29">
        <v>9.27</v>
      </c>
      <c r="CA189" s="29"/>
      <c r="CB189" s="30"/>
      <c r="CC189" s="28">
        <v>7.7</v>
      </c>
      <c r="CD189" s="29">
        <v>3.8</v>
      </c>
      <c r="CE189" s="29">
        <v>8.1</v>
      </c>
      <c r="CF189" s="29">
        <v>3.4</v>
      </c>
      <c r="CG189" s="45">
        <v>0.042</v>
      </c>
      <c r="CH189" s="45">
        <v>0</v>
      </c>
      <c r="CI189" s="45">
        <v>0</v>
      </c>
      <c r="CJ189" s="46">
        <v>0</v>
      </c>
      <c r="CK189" s="29"/>
      <c r="CL189" s="29"/>
      <c r="CM189" s="29"/>
      <c r="CN189" s="29"/>
      <c r="CO189" s="45"/>
      <c r="CP189" s="45"/>
      <c r="CQ189" s="45"/>
      <c r="CR189" s="45"/>
    </row>
    <row r="190" spans="1:96" ht="16.5" customHeight="1">
      <c r="A190" s="592"/>
      <c r="B190" s="3" t="s">
        <v>21</v>
      </c>
      <c r="C190" s="273">
        <v>9260.38</v>
      </c>
      <c r="D190" s="14">
        <v>31</v>
      </c>
      <c r="E190" s="14">
        <f t="shared" si="108"/>
        <v>1499.3200000000002</v>
      </c>
      <c r="F190" s="14">
        <v>1334.96</v>
      </c>
      <c r="G190" s="14">
        <v>164.36</v>
      </c>
      <c r="H190" s="14">
        <v>235</v>
      </c>
      <c r="I190" s="14">
        <v>234.57</v>
      </c>
      <c r="J190" s="14"/>
      <c r="K190" s="18"/>
      <c r="L190" s="39">
        <f t="shared" si="109"/>
        <v>5238.95</v>
      </c>
      <c r="M190" s="14">
        <v>5004.38</v>
      </c>
      <c r="N190" s="14">
        <v>234.57</v>
      </c>
      <c r="O190" s="14"/>
      <c r="P190" s="14">
        <v>31</v>
      </c>
      <c r="Q190" s="14"/>
      <c r="R190" s="14"/>
      <c r="S190" s="14">
        <v>924</v>
      </c>
      <c r="T190" s="14"/>
      <c r="U190" s="14"/>
      <c r="V190" s="14">
        <v>25</v>
      </c>
      <c r="W190" s="14"/>
      <c r="X190" s="55">
        <v>3.36</v>
      </c>
      <c r="Y190" s="95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89"/>
      <c r="AL190" s="39">
        <v>9988</v>
      </c>
      <c r="AM190" s="14"/>
      <c r="AN190" s="14"/>
      <c r="AO190" s="14">
        <v>3458</v>
      </c>
      <c r="AP190" s="14">
        <v>361.762</v>
      </c>
      <c r="AQ190" s="14">
        <v>361.762</v>
      </c>
      <c r="AR190" s="14"/>
      <c r="AS190" s="14"/>
      <c r="AT190" s="14"/>
      <c r="AU190" s="18">
        <v>6530</v>
      </c>
      <c r="AV190" s="36">
        <v>0.35</v>
      </c>
      <c r="AW190" s="14">
        <v>1642</v>
      </c>
      <c r="AX190" s="22">
        <v>47.6</v>
      </c>
      <c r="AY190" s="22">
        <v>42.72</v>
      </c>
      <c r="AZ190" s="22">
        <v>9.68</v>
      </c>
      <c r="BA190" s="22">
        <v>22.75</v>
      </c>
      <c r="BB190" s="22">
        <v>4.24</v>
      </c>
      <c r="BC190" s="22">
        <v>18.61</v>
      </c>
      <c r="BD190" s="22">
        <v>46.23</v>
      </c>
      <c r="BE190" s="22">
        <v>2.93</v>
      </c>
      <c r="BF190" s="22">
        <v>5.25</v>
      </c>
      <c r="BG190" s="55"/>
      <c r="BH190" s="14">
        <v>40007.903225806454</v>
      </c>
      <c r="BI190" s="14"/>
      <c r="BJ190" s="14"/>
      <c r="BK190" s="14">
        <v>156</v>
      </c>
      <c r="BL190" s="14">
        <v>169</v>
      </c>
      <c r="BM190" s="14"/>
      <c r="BN190" s="274">
        <f aca="true" t="shared" si="110" ref="BN190:BN198">+BO190+BP190</f>
        <v>517</v>
      </c>
      <c r="BO190" s="14"/>
      <c r="BP190" s="18">
        <v>517</v>
      </c>
      <c r="BQ190" s="28">
        <v>2.85</v>
      </c>
      <c r="BR190" s="29"/>
      <c r="BS190" s="29"/>
      <c r="BT190" s="29">
        <v>35.02</v>
      </c>
      <c r="BU190" s="29"/>
      <c r="BV190" s="29"/>
      <c r="BW190" s="29">
        <v>3.72</v>
      </c>
      <c r="BX190" s="29"/>
      <c r="BY190" s="29"/>
      <c r="BZ190" s="29">
        <v>8.69</v>
      </c>
      <c r="CA190" s="29"/>
      <c r="CB190" s="30"/>
      <c r="CC190" s="28">
        <v>7.3</v>
      </c>
      <c r="CD190" s="29">
        <v>7.1</v>
      </c>
      <c r="CE190" s="29">
        <v>9.5</v>
      </c>
      <c r="CF190" s="29">
        <v>7.9</v>
      </c>
      <c r="CG190" s="45">
        <v>0.018</v>
      </c>
      <c r="CH190" s="45">
        <v>0</v>
      </c>
      <c r="CI190" s="45">
        <v>0</v>
      </c>
      <c r="CJ190" s="46">
        <v>0</v>
      </c>
      <c r="CK190" s="29"/>
      <c r="CL190" s="29"/>
      <c r="CM190" s="29"/>
      <c r="CN190" s="29"/>
      <c r="CO190" s="45"/>
      <c r="CP190" s="45"/>
      <c r="CQ190" s="45"/>
      <c r="CR190" s="45"/>
    </row>
    <row r="191" spans="1:96" ht="16.5" customHeight="1">
      <c r="A191" s="592"/>
      <c r="B191" s="3" t="s">
        <v>22</v>
      </c>
      <c r="C191" s="273">
        <v>9290.48</v>
      </c>
      <c r="D191" s="14">
        <v>30</v>
      </c>
      <c r="E191" s="14">
        <f t="shared" si="108"/>
        <v>1405.28</v>
      </c>
      <c r="F191" s="14">
        <v>1251.19</v>
      </c>
      <c r="G191" s="14">
        <v>154.09</v>
      </c>
      <c r="H191" s="14">
        <v>487</v>
      </c>
      <c r="I191" s="14">
        <v>486.91</v>
      </c>
      <c r="J191" s="14"/>
      <c r="K191" s="18"/>
      <c r="L191" s="39">
        <f t="shared" si="109"/>
        <v>5693.67</v>
      </c>
      <c r="M191" s="14">
        <v>5411.69</v>
      </c>
      <c r="N191" s="14">
        <v>281.98</v>
      </c>
      <c r="O191" s="14"/>
      <c r="P191" s="14">
        <v>30</v>
      </c>
      <c r="Q191" s="14"/>
      <c r="R191" s="14"/>
      <c r="S191" s="14">
        <v>926</v>
      </c>
      <c r="T191" s="14"/>
      <c r="U191" s="14"/>
      <c r="V191" s="14"/>
      <c r="W191" s="14"/>
      <c r="X191" s="55">
        <v>4.49</v>
      </c>
      <c r="Y191" s="95">
        <f aca="true" t="shared" si="111" ref="Y191:Y199">Z191+AA191</f>
        <v>4557.05</v>
      </c>
      <c r="Z191" s="32">
        <v>4352.12</v>
      </c>
      <c r="AA191" s="32">
        <v>204.93</v>
      </c>
      <c r="AB191" s="32"/>
      <c r="AC191" s="32">
        <v>23</v>
      </c>
      <c r="AD191" s="32"/>
      <c r="AE191" s="32"/>
      <c r="AF191" s="32">
        <v>917</v>
      </c>
      <c r="AG191" s="32"/>
      <c r="AH191" s="32"/>
      <c r="AI191" s="32">
        <v>4873</v>
      </c>
      <c r="AJ191" s="32"/>
      <c r="AK191" s="89">
        <v>3.07</v>
      </c>
      <c r="AL191" s="39">
        <v>18421</v>
      </c>
      <c r="AM191" s="14"/>
      <c r="AN191" s="14"/>
      <c r="AO191" s="14">
        <v>6875</v>
      </c>
      <c r="AP191" s="14">
        <v>638.6030000000001</v>
      </c>
      <c r="AQ191" s="14">
        <v>638.6030000000001</v>
      </c>
      <c r="AR191" s="14"/>
      <c r="AS191" s="14"/>
      <c r="AT191" s="14"/>
      <c r="AU191" s="18">
        <v>11546</v>
      </c>
      <c r="AV191" s="36">
        <v>0.33</v>
      </c>
      <c r="AW191" s="14">
        <v>1512</v>
      </c>
      <c r="AX191" s="22">
        <v>48.36</v>
      </c>
      <c r="AY191" s="22">
        <v>40.44</v>
      </c>
      <c r="AZ191" s="22">
        <v>11.2</v>
      </c>
      <c r="BA191" s="22">
        <v>18.82</v>
      </c>
      <c r="BB191" s="22">
        <v>3.43</v>
      </c>
      <c r="BC191" s="22">
        <v>18.33</v>
      </c>
      <c r="BD191" s="22">
        <v>49.91</v>
      </c>
      <c r="BE191" s="22">
        <v>2.98</v>
      </c>
      <c r="BF191" s="22">
        <v>6.54</v>
      </c>
      <c r="BG191" s="55"/>
      <c r="BH191" s="14">
        <v>44495.2</v>
      </c>
      <c r="BI191" s="14">
        <v>45674</v>
      </c>
      <c r="BJ191" s="14"/>
      <c r="BK191" s="14">
        <v>156</v>
      </c>
      <c r="BL191" s="14">
        <v>170</v>
      </c>
      <c r="BM191" s="14"/>
      <c r="BN191" s="274">
        <f t="shared" si="110"/>
        <v>1380</v>
      </c>
      <c r="BO191" s="14"/>
      <c r="BP191" s="18">
        <v>1380</v>
      </c>
      <c r="BQ191" s="28">
        <v>3.48</v>
      </c>
      <c r="BR191" s="29"/>
      <c r="BS191" s="29"/>
      <c r="BT191" s="29">
        <v>50.71</v>
      </c>
      <c r="BU191" s="29"/>
      <c r="BV191" s="29"/>
      <c r="BW191" s="29">
        <v>3.64</v>
      </c>
      <c r="BX191" s="29"/>
      <c r="BY191" s="29"/>
      <c r="BZ191" s="29">
        <v>6.96</v>
      </c>
      <c r="CA191" s="29"/>
      <c r="CB191" s="30"/>
      <c r="CC191" s="28">
        <v>7.5</v>
      </c>
      <c r="CD191" s="29">
        <v>2.9</v>
      </c>
      <c r="CE191" s="29">
        <v>6.7</v>
      </c>
      <c r="CF191" s="29">
        <v>3.9</v>
      </c>
      <c r="CG191" s="45">
        <v>0</v>
      </c>
      <c r="CH191" s="45">
        <v>0</v>
      </c>
      <c r="CI191" s="45">
        <v>0</v>
      </c>
      <c r="CJ191" s="46">
        <v>0</v>
      </c>
      <c r="CK191" s="29"/>
      <c r="CL191" s="29"/>
      <c r="CM191" s="29"/>
      <c r="CN191" s="29"/>
      <c r="CO191" s="45"/>
      <c r="CP191" s="45"/>
      <c r="CQ191" s="45"/>
      <c r="CR191" s="45"/>
    </row>
    <row r="192" spans="1:96" ht="16.5" customHeight="1">
      <c r="A192" s="592"/>
      <c r="B192" s="3" t="s">
        <v>23</v>
      </c>
      <c r="C192" s="273">
        <v>11397.86</v>
      </c>
      <c r="D192" s="14">
        <v>31</v>
      </c>
      <c r="E192" s="14">
        <f t="shared" si="108"/>
        <v>1705.0900000000001</v>
      </c>
      <c r="F192" s="14">
        <v>1533.18</v>
      </c>
      <c r="G192" s="14">
        <v>171.91</v>
      </c>
      <c r="H192" s="14">
        <v>434</v>
      </c>
      <c r="I192" s="14">
        <v>434.24</v>
      </c>
      <c r="J192" s="14"/>
      <c r="K192" s="18"/>
      <c r="L192" s="39">
        <f t="shared" si="109"/>
        <v>4789.389999999999</v>
      </c>
      <c r="M192" s="14">
        <v>4643.65</v>
      </c>
      <c r="N192" s="14">
        <v>145.74</v>
      </c>
      <c r="O192" s="14"/>
      <c r="P192" s="14">
        <v>26</v>
      </c>
      <c r="Q192" s="14"/>
      <c r="R192" s="14"/>
      <c r="S192" s="14">
        <v>926</v>
      </c>
      <c r="T192" s="14"/>
      <c r="U192" s="14"/>
      <c r="V192" s="14">
        <v>603</v>
      </c>
      <c r="W192" s="14"/>
      <c r="X192" s="55">
        <v>3.63</v>
      </c>
      <c r="Y192" s="95">
        <f t="shared" si="111"/>
        <v>6242.81</v>
      </c>
      <c r="Z192" s="32">
        <v>5954.31</v>
      </c>
      <c r="AA192" s="32">
        <v>288.5</v>
      </c>
      <c r="AB192" s="32"/>
      <c r="AC192" s="32">
        <v>31</v>
      </c>
      <c r="AD192" s="32"/>
      <c r="AE192" s="32"/>
      <c r="AF192" s="32">
        <v>928</v>
      </c>
      <c r="AG192" s="32"/>
      <c r="AH192" s="32"/>
      <c r="AI192" s="32">
        <v>1406</v>
      </c>
      <c r="AJ192" s="32"/>
      <c r="AK192" s="89">
        <v>3.94</v>
      </c>
      <c r="AL192" s="39">
        <v>19396</v>
      </c>
      <c r="AM192" s="14"/>
      <c r="AN192" s="14"/>
      <c r="AO192" s="14">
        <v>7541</v>
      </c>
      <c r="AP192" s="14">
        <v>687.737</v>
      </c>
      <c r="AQ192" s="14">
        <v>687.737</v>
      </c>
      <c r="AR192" s="14"/>
      <c r="AS192" s="14"/>
      <c r="AT192" s="14"/>
      <c r="AU192" s="18">
        <v>11855</v>
      </c>
      <c r="AV192" s="36">
        <v>0.43</v>
      </c>
      <c r="AW192" s="14">
        <v>1411</v>
      </c>
      <c r="AX192" s="22">
        <v>58.41</v>
      </c>
      <c r="AY192" s="22">
        <v>33.77</v>
      </c>
      <c r="AZ192" s="22">
        <v>7.82</v>
      </c>
      <c r="BA192" s="22">
        <v>21.98</v>
      </c>
      <c r="BB192" s="22">
        <v>0.85</v>
      </c>
      <c r="BC192" s="22">
        <v>16.3</v>
      </c>
      <c r="BD192" s="22">
        <v>54.8</v>
      </c>
      <c r="BE192" s="22">
        <v>2.67</v>
      </c>
      <c r="BF192" s="22">
        <v>3.41</v>
      </c>
      <c r="BG192" s="55"/>
      <c r="BH192" s="14">
        <v>39850.153846153844</v>
      </c>
      <c r="BI192" s="14">
        <v>45283</v>
      </c>
      <c r="BJ192" s="14"/>
      <c r="BK192" s="14">
        <v>155</v>
      </c>
      <c r="BL192" s="14">
        <v>170</v>
      </c>
      <c r="BM192" s="14"/>
      <c r="BN192" s="274">
        <f t="shared" si="110"/>
        <v>1946</v>
      </c>
      <c r="BO192" s="14"/>
      <c r="BP192" s="18">
        <v>1946</v>
      </c>
      <c r="BQ192" s="28">
        <v>2.48</v>
      </c>
      <c r="BR192" s="29">
        <v>9.69</v>
      </c>
      <c r="BS192" s="29"/>
      <c r="BT192" s="29">
        <v>46.23</v>
      </c>
      <c r="BU192" s="29">
        <v>60.78</v>
      </c>
      <c r="BV192" s="29"/>
      <c r="BW192" s="29">
        <v>3.8</v>
      </c>
      <c r="BX192" s="29">
        <v>4.81</v>
      </c>
      <c r="BY192" s="29"/>
      <c r="BZ192" s="29">
        <v>8.59</v>
      </c>
      <c r="CA192" s="29">
        <v>21.14</v>
      </c>
      <c r="CB192" s="30"/>
      <c r="CC192" s="28">
        <v>8.15</v>
      </c>
      <c r="CD192" s="29">
        <v>4.95</v>
      </c>
      <c r="CE192" s="29">
        <v>9.5</v>
      </c>
      <c r="CF192" s="29">
        <v>7.55</v>
      </c>
      <c r="CG192" s="45">
        <v>0.012</v>
      </c>
      <c r="CH192" s="45">
        <v>0.0065</v>
      </c>
      <c r="CI192" s="45">
        <v>0</v>
      </c>
      <c r="CJ192" s="46">
        <v>0</v>
      </c>
      <c r="CK192" s="29"/>
      <c r="CL192" s="29"/>
      <c r="CM192" s="29"/>
      <c r="CN192" s="29"/>
      <c r="CO192" s="45"/>
      <c r="CP192" s="45"/>
      <c r="CQ192" s="45"/>
      <c r="CR192" s="45"/>
    </row>
    <row r="193" spans="1:96" ht="16.5" customHeight="1">
      <c r="A193" s="592"/>
      <c r="B193" s="3" t="s">
        <v>24</v>
      </c>
      <c r="C193" s="273">
        <v>9728.39</v>
      </c>
      <c r="D193" s="14">
        <v>30</v>
      </c>
      <c r="E193" s="14">
        <f t="shared" si="108"/>
        <v>1658.73</v>
      </c>
      <c r="F193" s="14">
        <v>1493.99</v>
      </c>
      <c r="G193" s="14">
        <v>164.74</v>
      </c>
      <c r="H193" s="14">
        <v>668</v>
      </c>
      <c r="I193" s="14">
        <v>535.32</v>
      </c>
      <c r="J193" s="14">
        <v>133</v>
      </c>
      <c r="K193" s="18"/>
      <c r="L193" s="39">
        <f t="shared" si="109"/>
        <v>4035.6099999999997</v>
      </c>
      <c r="M193" s="14">
        <v>3848.47</v>
      </c>
      <c r="N193" s="14">
        <v>187.14</v>
      </c>
      <c r="O193" s="14"/>
      <c r="P193" s="14">
        <v>21</v>
      </c>
      <c r="Q193" s="14"/>
      <c r="R193" s="14"/>
      <c r="S193" s="14">
        <v>899</v>
      </c>
      <c r="T193" s="14"/>
      <c r="U193" s="14"/>
      <c r="V193" s="14">
        <v>12416</v>
      </c>
      <c r="W193" s="14"/>
      <c r="X193" s="55">
        <v>4.23</v>
      </c>
      <c r="Y193" s="95">
        <f t="shared" si="111"/>
        <v>6058.200000000001</v>
      </c>
      <c r="Z193" s="32">
        <v>5710.02</v>
      </c>
      <c r="AA193" s="32">
        <v>348.18</v>
      </c>
      <c r="AB193" s="32"/>
      <c r="AC193" s="32">
        <v>30</v>
      </c>
      <c r="AD193" s="32"/>
      <c r="AE193" s="32"/>
      <c r="AF193" s="32">
        <v>909</v>
      </c>
      <c r="AG193" s="32"/>
      <c r="AH193" s="32"/>
      <c r="AI193" s="32">
        <v>235</v>
      </c>
      <c r="AJ193" s="32"/>
      <c r="AK193" s="89">
        <v>3.53</v>
      </c>
      <c r="AL193" s="39">
        <v>18503</v>
      </c>
      <c r="AM193" s="14"/>
      <c r="AN193" s="14"/>
      <c r="AO193" s="14">
        <v>8166</v>
      </c>
      <c r="AP193" s="14">
        <v>644.894</v>
      </c>
      <c r="AQ193" s="14">
        <v>644.894</v>
      </c>
      <c r="AR193" s="14"/>
      <c r="AS193" s="14"/>
      <c r="AT193" s="14"/>
      <c r="AU193" s="18">
        <v>10337</v>
      </c>
      <c r="AV193" s="36">
        <v>0.36</v>
      </c>
      <c r="AW193" s="14">
        <v>1427</v>
      </c>
      <c r="AX193" s="22">
        <v>57.25</v>
      </c>
      <c r="AY193" s="22">
        <v>33.15</v>
      </c>
      <c r="AZ193" s="22">
        <v>9.6</v>
      </c>
      <c r="BA193" s="22">
        <v>22.15</v>
      </c>
      <c r="BB193" s="22">
        <v>1.95</v>
      </c>
      <c r="BC193" s="22">
        <v>17.26</v>
      </c>
      <c r="BD193" s="22">
        <v>49.62</v>
      </c>
      <c r="BE193" s="22">
        <v>2.93</v>
      </c>
      <c r="BF193" s="22">
        <v>6.08</v>
      </c>
      <c r="BG193" s="55"/>
      <c r="BH193" s="14">
        <v>36561.78571428572</v>
      </c>
      <c r="BI193" s="14">
        <v>45861</v>
      </c>
      <c r="BJ193" s="14"/>
      <c r="BK193" s="14">
        <v>156</v>
      </c>
      <c r="BL193" s="14">
        <v>170</v>
      </c>
      <c r="BM193" s="14"/>
      <c r="BN193" s="274">
        <f t="shared" si="110"/>
        <v>872</v>
      </c>
      <c r="BO193" s="14"/>
      <c r="BP193" s="18">
        <v>872</v>
      </c>
      <c r="BQ193" s="28">
        <v>5.47</v>
      </c>
      <c r="BR193" s="29">
        <v>13.44</v>
      </c>
      <c r="BS193" s="29"/>
      <c r="BT193" s="29">
        <v>35.7</v>
      </c>
      <c r="BU193" s="29">
        <v>53.81</v>
      </c>
      <c r="BV193" s="29"/>
      <c r="BW193" s="29">
        <v>2.7</v>
      </c>
      <c r="BX193" s="29">
        <v>6.72</v>
      </c>
      <c r="BY193" s="29"/>
      <c r="BZ193" s="29">
        <v>10.43</v>
      </c>
      <c r="CA193" s="29">
        <v>18.18</v>
      </c>
      <c r="CB193" s="30"/>
      <c r="CC193" s="28">
        <v>7.6</v>
      </c>
      <c r="CD193" s="29">
        <v>5</v>
      </c>
      <c r="CE193" s="29">
        <v>6.85</v>
      </c>
      <c r="CF193" s="29">
        <v>7.9</v>
      </c>
      <c r="CG193" s="45">
        <v>0.0135</v>
      </c>
      <c r="CH193" s="45">
        <v>0.0165</v>
      </c>
      <c r="CI193" s="45">
        <v>0.0055</v>
      </c>
      <c r="CJ193" s="46">
        <v>0.0005</v>
      </c>
      <c r="CK193" s="29"/>
      <c r="CL193" s="29"/>
      <c r="CM193" s="29"/>
      <c r="CN193" s="29"/>
      <c r="CO193" s="45"/>
      <c r="CP193" s="45"/>
      <c r="CQ193" s="45"/>
      <c r="CR193" s="45"/>
    </row>
    <row r="194" spans="1:96" ht="16.5" customHeight="1">
      <c r="A194" s="592"/>
      <c r="B194" s="3" t="s">
        <v>25</v>
      </c>
      <c r="C194" s="273">
        <v>11944.64</v>
      </c>
      <c r="D194" s="14">
        <v>31</v>
      </c>
      <c r="E194" s="14">
        <f t="shared" si="108"/>
        <v>1945.6200000000001</v>
      </c>
      <c r="F194" s="14">
        <v>1775.94</v>
      </c>
      <c r="G194" s="14">
        <v>169.68</v>
      </c>
      <c r="H194" s="14">
        <v>1117</v>
      </c>
      <c r="I194" s="14">
        <v>652.79</v>
      </c>
      <c r="J194" s="14">
        <v>464</v>
      </c>
      <c r="K194" s="18"/>
      <c r="L194" s="39">
        <f t="shared" si="109"/>
        <v>5707.05</v>
      </c>
      <c r="M194" s="14">
        <v>5387</v>
      </c>
      <c r="N194" s="14">
        <v>320.05</v>
      </c>
      <c r="O194" s="14"/>
      <c r="P194" s="14">
        <v>31</v>
      </c>
      <c r="Q194" s="14"/>
      <c r="R194" s="14"/>
      <c r="S194" s="14">
        <v>926</v>
      </c>
      <c r="T194" s="14"/>
      <c r="U194" s="14"/>
      <c r="V194" s="14">
        <v>389</v>
      </c>
      <c r="W194" s="14"/>
      <c r="X194" s="55">
        <v>3.98</v>
      </c>
      <c r="Y194" s="95">
        <f t="shared" si="111"/>
        <v>5757.0199999999995</v>
      </c>
      <c r="Z194" s="32">
        <v>5424.28</v>
      </c>
      <c r="AA194" s="32">
        <v>332.74</v>
      </c>
      <c r="AB194" s="32"/>
      <c r="AC194" s="32">
        <v>31</v>
      </c>
      <c r="AD194" s="32"/>
      <c r="AE194" s="32"/>
      <c r="AF194" s="32">
        <v>909</v>
      </c>
      <c r="AG194" s="32"/>
      <c r="AH194" s="32"/>
      <c r="AI194" s="32">
        <v>7</v>
      </c>
      <c r="AJ194" s="32"/>
      <c r="AK194" s="89">
        <v>3.58</v>
      </c>
      <c r="AL194" s="39">
        <v>18030</v>
      </c>
      <c r="AM194" s="14"/>
      <c r="AN194" s="14"/>
      <c r="AO194" s="14">
        <v>11961</v>
      </c>
      <c r="AP194" s="14">
        <v>790.042</v>
      </c>
      <c r="AQ194" s="14">
        <v>790.042</v>
      </c>
      <c r="AR194" s="14"/>
      <c r="AS194" s="14"/>
      <c r="AT194" s="14"/>
      <c r="AU194" s="18">
        <v>6069</v>
      </c>
      <c r="AV194" s="36">
        <v>0.35</v>
      </c>
      <c r="AW194" s="14">
        <v>912</v>
      </c>
      <c r="AX194" s="22">
        <v>64.27</v>
      </c>
      <c r="AY194" s="22">
        <v>27.69</v>
      </c>
      <c r="AZ194" s="22">
        <v>8.05</v>
      </c>
      <c r="BA194" s="22">
        <v>21.38</v>
      </c>
      <c r="BB194" s="22">
        <v>1.15</v>
      </c>
      <c r="BC194" s="22">
        <v>12.47</v>
      </c>
      <c r="BD194" s="22">
        <v>54.94</v>
      </c>
      <c r="BE194" s="22">
        <v>4.23</v>
      </c>
      <c r="BF194" s="22">
        <v>5.83</v>
      </c>
      <c r="BG194" s="55"/>
      <c r="BH194" s="14">
        <v>46606</v>
      </c>
      <c r="BI194" s="14">
        <v>47927</v>
      </c>
      <c r="BJ194" s="14"/>
      <c r="BK194" s="14">
        <v>156</v>
      </c>
      <c r="BL194" s="14">
        <v>170</v>
      </c>
      <c r="BM194" s="14"/>
      <c r="BN194" s="274">
        <f t="shared" si="110"/>
        <v>1513</v>
      </c>
      <c r="BO194" s="14"/>
      <c r="BP194" s="18">
        <v>1513</v>
      </c>
      <c r="BQ194" s="28">
        <v>3.54</v>
      </c>
      <c r="BR194" s="29">
        <v>2.89</v>
      </c>
      <c r="BS194" s="29"/>
      <c r="BT194" s="29">
        <v>39.3</v>
      </c>
      <c r="BU194" s="29">
        <v>55.8</v>
      </c>
      <c r="BV194" s="29"/>
      <c r="BW194" s="29">
        <v>3.97</v>
      </c>
      <c r="BX194" s="29">
        <v>10.14</v>
      </c>
      <c r="BY194" s="29"/>
      <c r="BZ194" s="29">
        <v>9.81</v>
      </c>
      <c r="CA194" s="29">
        <v>9.81</v>
      </c>
      <c r="CB194" s="30"/>
      <c r="CC194" s="28">
        <f>SUM(CC192:CC193)/2</f>
        <v>7.875</v>
      </c>
      <c r="CD194" s="29">
        <f aca="true" t="shared" si="112" ref="CD194:CJ194">SUM(CD192:CD193)/2</f>
        <v>4.975</v>
      </c>
      <c r="CE194" s="29">
        <f t="shared" si="112"/>
        <v>8.175</v>
      </c>
      <c r="CF194" s="29">
        <f t="shared" si="112"/>
        <v>7.725</v>
      </c>
      <c r="CG194" s="29">
        <f t="shared" si="112"/>
        <v>0.012750000000000001</v>
      </c>
      <c r="CH194" s="29">
        <f t="shared" si="112"/>
        <v>0.0115</v>
      </c>
      <c r="CI194" s="29">
        <f t="shared" si="112"/>
        <v>0.00275</v>
      </c>
      <c r="CJ194" s="30">
        <f t="shared" si="112"/>
        <v>0.00025</v>
      </c>
      <c r="CK194" s="29"/>
      <c r="CL194" s="29"/>
      <c r="CM194" s="29"/>
      <c r="CN194" s="29"/>
      <c r="CO194" s="45"/>
      <c r="CP194" s="45"/>
      <c r="CQ194" s="45"/>
      <c r="CR194" s="45"/>
    </row>
    <row r="195" spans="1:96" ht="16.5" customHeight="1">
      <c r="A195" s="592"/>
      <c r="B195" s="3" t="s">
        <v>26</v>
      </c>
      <c r="C195" s="273">
        <v>12271.5</v>
      </c>
      <c r="D195" s="14">
        <v>31</v>
      </c>
      <c r="E195" s="14">
        <f t="shared" si="108"/>
        <v>2072.17</v>
      </c>
      <c r="F195" s="14">
        <v>1876.89</v>
      </c>
      <c r="G195" s="14">
        <v>195.28</v>
      </c>
      <c r="H195" s="14">
        <v>961</v>
      </c>
      <c r="I195" s="14">
        <v>835.93</v>
      </c>
      <c r="J195" s="14">
        <v>125</v>
      </c>
      <c r="K195" s="18"/>
      <c r="L195" s="39">
        <f t="shared" si="109"/>
        <v>5614.9800000000005</v>
      </c>
      <c r="M195" s="14">
        <v>5263.43</v>
      </c>
      <c r="N195" s="14">
        <v>351.55</v>
      </c>
      <c r="O195" s="14"/>
      <c r="P195" s="14">
        <v>30</v>
      </c>
      <c r="Q195" s="14"/>
      <c r="R195" s="14"/>
      <c r="S195" s="14">
        <v>901</v>
      </c>
      <c r="T195" s="14"/>
      <c r="U195" s="14"/>
      <c r="V195" s="14">
        <v>3965</v>
      </c>
      <c r="W195" s="14"/>
      <c r="X195" s="55">
        <v>3.58</v>
      </c>
      <c r="Y195" s="95">
        <f t="shared" si="111"/>
        <v>5958.84</v>
      </c>
      <c r="Z195" s="32">
        <v>5474.46</v>
      </c>
      <c r="AA195" s="32">
        <v>484.38</v>
      </c>
      <c r="AB195" s="32"/>
      <c r="AC195" s="32">
        <v>31</v>
      </c>
      <c r="AD195" s="32"/>
      <c r="AE195" s="32"/>
      <c r="AF195" s="32">
        <v>945</v>
      </c>
      <c r="AG195" s="32"/>
      <c r="AH195" s="32"/>
      <c r="AI195" s="32">
        <v>99</v>
      </c>
      <c r="AJ195" s="32"/>
      <c r="AK195" s="89">
        <v>3.83</v>
      </c>
      <c r="AL195" s="39">
        <v>17807</v>
      </c>
      <c r="AM195" s="14"/>
      <c r="AN195" s="14"/>
      <c r="AO195" s="14">
        <v>11469</v>
      </c>
      <c r="AP195" s="14">
        <v>759.648</v>
      </c>
      <c r="AQ195" s="14">
        <v>759.648</v>
      </c>
      <c r="AR195" s="14"/>
      <c r="AS195" s="14"/>
      <c r="AT195" s="14"/>
      <c r="AU195" s="18">
        <v>6338</v>
      </c>
      <c r="AV195" s="36">
        <v>0.31</v>
      </c>
      <c r="AW195" s="14">
        <v>1116</v>
      </c>
      <c r="AX195" s="22">
        <v>59.82</v>
      </c>
      <c r="AY195" s="22">
        <v>29.38</v>
      </c>
      <c r="AZ195" s="22">
        <v>10.8</v>
      </c>
      <c r="BA195" s="22">
        <v>26.32</v>
      </c>
      <c r="BB195" s="22">
        <v>0.36</v>
      </c>
      <c r="BC195" s="22">
        <v>16.74</v>
      </c>
      <c r="BD195" s="22">
        <v>42.13</v>
      </c>
      <c r="BE195" s="22">
        <v>6.15</v>
      </c>
      <c r="BF195" s="22">
        <v>8.3</v>
      </c>
      <c r="BG195" s="55"/>
      <c r="BH195" s="14">
        <v>47351.31034482759</v>
      </c>
      <c r="BI195" s="14">
        <v>44794</v>
      </c>
      <c r="BJ195" s="14"/>
      <c r="BK195" s="14">
        <v>156</v>
      </c>
      <c r="BL195" s="14">
        <v>170</v>
      </c>
      <c r="BM195" s="14"/>
      <c r="BN195" s="274">
        <f t="shared" si="110"/>
        <v>1340</v>
      </c>
      <c r="BO195" s="14"/>
      <c r="BP195" s="18">
        <v>1340</v>
      </c>
      <c r="BQ195" s="28">
        <v>1.78</v>
      </c>
      <c r="BR195" s="29">
        <v>2.33</v>
      </c>
      <c r="BS195" s="29"/>
      <c r="BT195" s="29">
        <v>39.25</v>
      </c>
      <c r="BU195" s="29">
        <v>49.88</v>
      </c>
      <c r="BV195" s="29"/>
      <c r="BW195" s="29">
        <v>6.06</v>
      </c>
      <c r="BX195" s="29">
        <v>10.2</v>
      </c>
      <c r="BY195" s="29"/>
      <c r="BZ195" s="29">
        <v>9.42</v>
      </c>
      <c r="CA195" s="29">
        <v>6.04</v>
      </c>
      <c r="CB195" s="30"/>
      <c r="CC195" s="28">
        <v>7.65</v>
      </c>
      <c r="CD195" s="29">
        <v>1.9</v>
      </c>
      <c r="CE195" s="29">
        <v>10.45</v>
      </c>
      <c r="CF195" s="29">
        <v>4.27</v>
      </c>
      <c r="CG195" s="45">
        <v>0.004</v>
      </c>
      <c r="CH195" s="45">
        <v>0.004</v>
      </c>
      <c r="CI195" s="45">
        <v>0</v>
      </c>
      <c r="CJ195" s="46">
        <v>0</v>
      </c>
      <c r="CK195" s="29"/>
      <c r="CL195" s="29"/>
      <c r="CM195" s="29"/>
      <c r="CN195" s="29"/>
      <c r="CO195" s="45"/>
      <c r="CP195" s="45"/>
      <c r="CQ195" s="45"/>
      <c r="CR195" s="45"/>
    </row>
    <row r="196" spans="1:96" ht="16.5" customHeight="1">
      <c r="A196" s="592"/>
      <c r="B196" s="3" t="s">
        <v>27</v>
      </c>
      <c r="C196" s="273">
        <v>9504.78</v>
      </c>
      <c r="D196" s="14">
        <v>30</v>
      </c>
      <c r="E196" s="14">
        <f t="shared" si="108"/>
        <v>1535.74</v>
      </c>
      <c r="F196" s="14">
        <v>1364.8</v>
      </c>
      <c r="G196" s="14">
        <v>170.94</v>
      </c>
      <c r="H196" s="14">
        <v>583</v>
      </c>
      <c r="I196" s="14">
        <v>563.04</v>
      </c>
      <c r="J196" s="14">
        <v>20</v>
      </c>
      <c r="K196" s="18"/>
      <c r="L196" s="39">
        <f t="shared" si="109"/>
        <v>5457.82</v>
      </c>
      <c r="M196" s="14">
        <v>5128.09</v>
      </c>
      <c r="N196" s="14">
        <v>329.73</v>
      </c>
      <c r="O196" s="14"/>
      <c r="P196" s="14">
        <v>30</v>
      </c>
      <c r="Q196" s="14"/>
      <c r="R196" s="14"/>
      <c r="S196" s="14">
        <v>929</v>
      </c>
      <c r="T196" s="14"/>
      <c r="U196" s="14"/>
      <c r="V196" s="14">
        <v>58</v>
      </c>
      <c r="W196" s="14"/>
      <c r="X196" s="55">
        <v>3.88</v>
      </c>
      <c r="Y196" s="95">
        <f t="shared" si="111"/>
        <v>3222.77</v>
      </c>
      <c r="Z196" s="32">
        <v>2989.46</v>
      </c>
      <c r="AA196" s="32">
        <v>233.31</v>
      </c>
      <c r="AB196" s="32"/>
      <c r="AC196" s="32">
        <v>18</v>
      </c>
      <c r="AD196" s="32"/>
      <c r="AE196" s="32"/>
      <c r="AF196" s="32">
        <v>960</v>
      </c>
      <c r="AG196" s="32"/>
      <c r="AH196" s="32"/>
      <c r="AI196" s="32">
        <v>4897</v>
      </c>
      <c r="AJ196" s="32"/>
      <c r="AK196" s="89">
        <v>4.17</v>
      </c>
      <c r="AL196" s="39">
        <f>5849+10095</f>
        <v>15944</v>
      </c>
      <c r="AM196" s="14"/>
      <c r="AN196" s="14"/>
      <c r="AO196" s="14">
        <v>9216</v>
      </c>
      <c r="AP196" s="14">
        <v>546.636</v>
      </c>
      <c r="AQ196" s="14">
        <v>546.636</v>
      </c>
      <c r="AR196" s="14"/>
      <c r="AS196" s="14"/>
      <c r="AT196" s="14"/>
      <c r="AU196" s="18">
        <v>6728</v>
      </c>
      <c r="AV196" s="36">
        <v>0.31</v>
      </c>
      <c r="AW196" s="14">
        <v>1919</v>
      </c>
      <c r="AX196" s="22">
        <v>45.68</v>
      </c>
      <c r="AY196" s="22">
        <v>40.66</v>
      </c>
      <c r="AZ196" s="22">
        <v>13.63</v>
      </c>
      <c r="BA196" s="22">
        <v>23.85</v>
      </c>
      <c r="BB196" s="22">
        <v>5.61</v>
      </c>
      <c r="BC196" s="22">
        <v>18.62</v>
      </c>
      <c r="BD196" s="22">
        <v>38.5</v>
      </c>
      <c r="BE196" s="22">
        <v>3.36</v>
      </c>
      <c r="BF196" s="22">
        <v>10.06</v>
      </c>
      <c r="BG196" s="55"/>
      <c r="BH196" s="14">
        <v>48046.5</v>
      </c>
      <c r="BI196" s="14">
        <v>38570</v>
      </c>
      <c r="BJ196" s="14"/>
      <c r="BK196" s="14">
        <v>156</v>
      </c>
      <c r="BL196" s="14">
        <v>170</v>
      </c>
      <c r="BM196" s="14"/>
      <c r="BN196" s="274">
        <f t="shared" si="110"/>
        <v>1510</v>
      </c>
      <c r="BO196" s="14"/>
      <c r="BP196" s="18">
        <v>1510</v>
      </c>
      <c r="BQ196" s="28">
        <v>6.05</v>
      </c>
      <c r="BR196" s="29">
        <v>16.1</v>
      </c>
      <c r="BS196" s="29"/>
      <c r="BT196" s="29">
        <v>40.01</v>
      </c>
      <c r="BU196" s="29">
        <v>44.15</v>
      </c>
      <c r="BV196" s="29"/>
      <c r="BW196" s="29">
        <v>2.68</v>
      </c>
      <c r="BX196" s="29">
        <v>6.75</v>
      </c>
      <c r="BY196" s="29"/>
      <c r="BZ196" s="29">
        <v>8.32</v>
      </c>
      <c r="CA196" s="29">
        <v>8.46</v>
      </c>
      <c r="CB196" s="30"/>
      <c r="CC196" s="28">
        <v>7.57</v>
      </c>
      <c r="CD196" s="29">
        <v>4.375</v>
      </c>
      <c r="CE196" s="29">
        <v>7.155</v>
      </c>
      <c r="CF196" s="29">
        <v>6.27</v>
      </c>
      <c r="CG196" s="45">
        <v>0.019</v>
      </c>
      <c r="CH196" s="45">
        <v>0</v>
      </c>
      <c r="CI196" s="45">
        <v>0</v>
      </c>
      <c r="CJ196" s="46">
        <v>0</v>
      </c>
      <c r="CK196" s="29"/>
      <c r="CL196" s="29"/>
      <c r="CM196" s="29"/>
      <c r="CN196" s="29"/>
      <c r="CO196" s="45"/>
      <c r="CP196" s="45"/>
      <c r="CQ196" s="45"/>
      <c r="CR196" s="45"/>
    </row>
    <row r="197" spans="1:96" ht="16.5" customHeight="1">
      <c r="A197" s="592"/>
      <c r="B197" s="3" t="s">
        <v>28</v>
      </c>
      <c r="C197" s="273">
        <v>7986.17</v>
      </c>
      <c r="D197" s="14">
        <v>31</v>
      </c>
      <c r="E197" s="14">
        <f t="shared" si="108"/>
        <v>1438.94</v>
      </c>
      <c r="F197" s="14">
        <v>1287.68</v>
      </c>
      <c r="G197" s="14">
        <v>151.26</v>
      </c>
      <c r="H197" s="14">
        <v>658</v>
      </c>
      <c r="I197" s="14">
        <v>658.16</v>
      </c>
      <c r="J197" s="14"/>
      <c r="K197" s="18"/>
      <c r="L197" s="39">
        <f t="shared" si="109"/>
        <v>1583.95</v>
      </c>
      <c r="M197" s="14">
        <v>1529.96</v>
      </c>
      <c r="N197" s="14">
        <v>53.99</v>
      </c>
      <c r="O197" s="14"/>
      <c r="P197" s="14">
        <v>9</v>
      </c>
      <c r="Q197" s="14"/>
      <c r="R197" s="14"/>
      <c r="S197" s="14">
        <v>930</v>
      </c>
      <c r="T197" s="14"/>
      <c r="U197" s="14"/>
      <c r="V197" s="14"/>
      <c r="W197" s="14"/>
      <c r="X197" s="55">
        <v>4.03</v>
      </c>
      <c r="Y197" s="95">
        <f t="shared" si="111"/>
        <v>5567.52</v>
      </c>
      <c r="Z197" s="32">
        <v>4963.35</v>
      </c>
      <c r="AA197" s="32">
        <v>604.17</v>
      </c>
      <c r="AB197" s="32"/>
      <c r="AC197" s="32">
        <v>31</v>
      </c>
      <c r="AD197" s="32"/>
      <c r="AE197" s="32"/>
      <c r="AF197" s="32">
        <v>937</v>
      </c>
      <c r="AG197" s="32"/>
      <c r="AH197" s="32"/>
      <c r="AI197" s="32">
        <v>136</v>
      </c>
      <c r="AJ197" s="32"/>
      <c r="AK197" s="89">
        <v>3.57</v>
      </c>
      <c r="AL197" s="39">
        <f>3121+11891</f>
        <v>15012</v>
      </c>
      <c r="AM197" s="14"/>
      <c r="AN197" s="14"/>
      <c r="AO197" s="14">
        <v>6820</v>
      </c>
      <c r="AP197" s="14">
        <v>513.835</v>
      </c>
      <c r="AQ197" s="14">
        <v>513.835</v>
      </c>
      <c r="AR197" s="14"/>
      <c r="AS197" s="14"/>
      <c r="AT197" s="14"/>
      <c r="AU197" s="18">
        <v>8192</v>
      </c>
      <c r="AV197" s="36">
        <v>0.3</v>
      </c>
      <c r="AW197" s="14">
        <v>1715</v>
      </c>
      <c r="AX197" s="22">
        <v>54.06</v>
      </c>
      <c r="AY197" s="22">
        <v>37.51</v>
      </c>
      <c r="AZ197" s="22">
        <v>8.43</v>
      </c>
      <c r="BA197" s="22">
        <v>30.65</v>
      </c>
      <c r="BB197" s="22">
        <v>1.79</v>
      </c>
      <c r="BC197" s="22">
        <v>15.66</v>
      </c>
      <c r="BD197" s="22">
        <v>45.15</v>
      </c>
      <c r="BE197" s="22">
        <v>1.25</v>
      </c>
      <c r="BF197" s="22">
        <v>5.5</v>
      </c>
      <c r="BG197" s="55"/>
      <c r="BH197" s="14">
        <v>47165.75</v>
      </c>
      <c r="BI197" s="14">
        <v>39182</v>
      </c>
      <c r="BJ197" s="14"/>
      <c r="BK197" s="14">
        <v>156</v>
      </c>
      <c r="BL197" s="14">
        <v>170</v>
      </c>
      <c r="BM197" s="14"/>
      <c r="BN197" s="274">
        <f t="shared" si="110"/>
        <v>1318</v>
      </c>
      <c r="BO197" s="14"/>
      <c r="BP197" s="18">
        <v>1318</v>
      </c>
      <c r="BQ197" s="28">
        <v>2.7</v>
      </c>
      <c r="BR197" s="29">
        <v>11.75</v>
      </c>
      <c r="BS197" s="29"/>
      <c r="BT197" s="29">
        <v>42.36</v>
      </c>
      <c r="BU197" s="29">
        <v>40.82</v>
      </c>
      <c r="BV197" s="29"/>
      <c r="BW197" s="29">
        <v>2.67</v>
      </c>
      <c r="BX197" s="29">
        <v>11.53</v>
      </c>
      <c r="BY197" s="29"/>
      <c r="BZ197" s="29">
        <v>7.69</v>
      </c>
      <c r="CA197" s="29">
        <v>9.93</v>
      </c>
      <c r="CB197" s="30"/>
      <c r="CC197" s="28">
        <v>7.515</v>
      </c>
      <c r="CD197" s="29">
        <v>3.16</v>
      </c>
      <c r="CE197" s="29">
        <v>8.06</v>
      </c>
      <c r="CF197" s="29">
        <v>39.125</v>
      </c>
      <c r="CG197" s="45">
        <v>0.315</v>
      </c>
      <c r="CH197" s="45">
        <v>0.0075</v>
      </c>
      <c r="CI197" s="45">
        <v>0</v>
      </c>
      <c r="CJ197" s="46">
        <v>0.0265</v>
      </c>
      <c r="CK197" s="29"/>
      <c r="CL197" s="29"/>
      <c r="CM197" s="29"/>
      <c r="CN197" s="29"/>
      <c r="CO197" s="45"/>
      <c r="CP197" s="45"/>
      <c r="CQ197" s="45"/>
      <c r="CR197" s="45"/>
    </row>
    <row r="198" spans="1:96" ht="16.5" customHeight="1">
      <c r="A198" s="592"/>
      <c r="B198" s="3" t="s">
        <v>29</v>
      </c>
      <c r="C198" s="273">
        <v>5940.35</v>
      </c>
      <c r="D198" s="14">
        <v>30</v>
      </c>
      <c r="E198" s="14">
        <f t="shared" si="108"/>
        <v>1122.36</v>
      </c>
      <c r="F198" s="14">
        <v>1012</v>
      </c>
      <c r="G198" s="14">
        <v>110.36</v>
      </c>
      <c r="H198" s="14">
        <v>480</v>
      </c>
      <c r="I198" s="14">
        <v>479.77</v>
      </c>
      <c r="J198" s="14"/>
      <c r="K198" s="18"/>
      <c r="L198" s="39">
        <f t="shared" si="109"/>
        <v>1018.31</v>
      </c>
      <c r="M198" s="14">
        <v>970.68</v>
      </c>
      <c r="N198" s="14">
        <v>47.63</v>
      </c>
      <c r="O198" s="14"/>
      <c r="P198" s="14">
        <v>6</v>
      </c>
      <c r="Q198" s="14"/>
      <c r="R198" s="14"/>
      <c r="S198" s="14">
        <v>929</v>
      </c>
      <c r="T198" s="14"/>
      <c r="U198" s="14"/>
      <c r="V198" s="14">
        <v>22412</v>
      </c>
      <c r="W198" s="14"/>
      <c r="X198" s="55"/>
      <c r="Y198" s="95">
        <f t="shared" si="111"/>
        <v>5632.6900000000005</v>
      </c>
      <c r="Z198" s="32">
        <v>5200.55</v>
      </c>
      <c r="AA198" s="32">
        <v>432.14</v>
      </c>
      <c r="AB198" s="32"/>
      <c r="AC198" s="32">
        <v>30</v>
      </c>
      <c r="AD198" s="32"/>
      <c r="AE198" s="32"/>
      <c r="AF198" s="32">
        <v>920</v>
      </c>
      <c r="AG198" s="32"/>
      <c r="AH198" s="32"/>
      <c r="AI198" s="32">
        <v>788</v>
      </c>
      <c r="AJ198" s="32"/>
      <c r="AK198" s="89">
        <v>3.92</v>
      </c>
      <c r="AL198" s="39">
        <f>11378+1821</f>
        <v>13199</v>
      </c>
      <c r="AM198" s="14"/>
      <c r="AN198" s="14"/>
      <c r="AO198" s="14">
        <v>2519</v>
      </c>
      <c r="AP198" s="14">
        <v>192.281</v>
      </c>
      <c r="AQ198" s="14">
        <v>192.281</v>
      </c>
      <c r="AR198" s="14"/>
      <c r="AS198" s="14"/>
      <c r="AT198" s="14"/>
      <c r="AU198" s="18">
        <v>10680</v>
      </c>
      <c r="AV198" s="36">
        <v>0.28</v>
      </c>
      <c r="AW198" s="14">
        <v>2024</v>
      </c>
      <c r="AX198" s="22">
        <v>41.18</v>
      </c>
      <c r="AY198" s="22">
        <v>46.64</v>
      </c>
      <c r="AZ198" s="22">
        <v>12.18</v>
      </c>
      <c r="BA198" s="22">
        <v>28.57</v>
      </c>
      <c r="BB198" s="22">
        <v>1.56</v>
      </c>
      <c r="BC198" s="22">
        <v>19.02</v>
      </c>
      <c r="BD198" s="22">
        <v>36.39</v>
      </c>
      <c r="BE198" s="22">
        <v>5.87</v>
      </c>
      <c r="BF198" s="22">
        <v>8.58</v>
      </c>
      <c r="BG198" s="55"/>
      <c r="BH198" s="14"/>
      <c r="BI198" s="14">
        <v>37454</v>
      </c>
      <c r="BJ198" s="14"/>
      <c r="BK198" s="14">
        <v>156</v>
      </c>
      <c r="BL198" s="14">
        <v>170</v>
      </c>
      <c r="BM198" s="14"/>
      <c r="BN198" s="274">
        <f t="shared" si="110"/>
        <v>1234</v>
      </c>
      <c r="BO198" s="14"/>
      <c r="BP198" s="18">
        <v>1234</v>
      </c>
      <c r="BQ198" s="28">
        <v>2.2</v>
      </c>
      <c r="BR198" s="29">
        <v>6.97</v>
      </c>
      <c r="BS198" s="29"/>
      <c r="BT198" s="29">
        <v>41.49</v>
      </c>
      <c r="BU198" s="29">
        <v>29.51</v>
      </c>
      <c r="BV198" s="29"/>
      <c r="BW198" s="29">
        <v>2.44</v>
      </c>
      <c r="BX198" s="29">
        <v>11.84</v>
      </c>
      <c r="BY198" s="29"/>
      <c r="BZ198" s="29">
        <v>13.43</v>
      </c>
      <c r="CA198" s="29">
        <v>8.73</v>
      </c>
      <c r="CB198" s="30"/>
      <c r="CC198" s="28">
        <v>7.815</v>
      </c>
      <c r="CD198" s="29">
        <v>4.005</v>
      </c>
      <c r="CE198" s="29">
        <v>8.7</v>
      </c>
      <c r="CF198" s="29">
        <v>16.9</v>
      </c>
      <c r="CG198" s="45">
        <v>0.0855</v>
      </c>
      <c r="CH198" s="45">
        <v>0.0145</v>
      </c>
      <c r="CI198" s="45">
        <v>0</v>
      </c>
      <c r="CJ198" s="46">
        <v>0.0485</v>
      </c>
      <c r="CK198" s="29"/>
      <c r="CL198" s="29"/>
      <c r="CM198" s="29"/>
      <c r="CN198" s="29"/>
      <c r="CO198" s="45"/>
      <c r="CP198" s="45"/>
      <c r="CQ198" s="45"/>
      <c r="CR198" s="45"/>
    </row>
    <row r="199" spans="1:96" ht="16.5" customHeight="1" thickBot="1">
      <c r="A199" s="592"/>
      <c r="B199" s="3" t="s">
        <v>30</v>
      </c>
      <c r="C199" s="273">
        <v>11362.73</v>
      </c>
      <c r="D199" s="14">
        <v>31</v>
      </c>
      <c r="E199" s="14">
        <f t="shared" si="108"/>
        <v>1855.7</v>
      </c>
      <c r="F199" s="14">
        <v>1658.89</v>
      </c>
      <c r="G199" s="14">
        <v>196.81</v>
      </c>
      <c r="H199" s="14">
        <v>570</v>
      </c>
      <c r="I199" s="14">
        <v>570.09</v>
      </c>
      <c r="J199" s="14"/>
      <c r="K199" s="18"/>
      <c r="L199" s="39">
        <f t="shared" si="109"/>
        <v>6213.5599999999995</v>
      </c>
      <c r="M199" s="14">
        <v>5942.12</v>
      </c>
      <c r="N199" s="14">
        <v>271.44</v>
      </c>
      <c r="O199" s="14"/>
      <c r="P199" s="14">
        <v>31</v>
      </c>
      <c r="Q199" s="14"/>
      <c r="R199" s="14"/>
      <c r="S199" s="14">
        <v>933</v>
      </c>
      <c r="T199" s="14"/>
      <c r="U199" s="14"/>
      <c r="V199" s="14">
        <v>1444</v>
      </c>
      <c r="W199" s="14"/>
      <c r="X199" s="55">
        <v>3.78</v>
      </c>
      <c r="Y199" s="95">
        <f t="shared" si="111"/>
        <v>6251.16</v>
      </c>
      <c r="Z199" s="32">
        <v>5952.51</v>
      </c>
      <c r="AA199" s="32">
        <v>298.65</v>
      </c>
      <c r="AB199" s="32"/>
      <c r="AC199" s="32">
        <v>31</v>
      </c>
      <c r="AD199" s="32"/>
      <c r="AE199" s="32"/>
      <c r="AF199" s="32">
        <v>916</v>
      </c>
      <c r="AG199" s="32"/>
      <c r="AH199" s="32"/>
      <c r="AI199" s="32">
        <v>3202</v>
      </c>
      <c r="AJ199" s="32"/>
      <c r="AK199" s="89">
        <v>3.25</v>
      </c>
      <c r="AL199" s="39">
        <f>11354+11530</f>
        <v>22884</v>
      </c>
      <c r="AM199" s="14"/>
      <c r="AN199" s="14"/>
      <c r="AO199" s="14">
        <v>5109</v>
      </c>
      <c r="AP199" s="14">
        <v>493.457</v>
      </c>
      <c r="AQ199" s="14">
        <v>493.457</v>
      </c>
      <c r="AR199" s="14"/>
      <c r="AS199" s="14"/>
      <c r="AT199" s="14"/>
      <c r="AU199" s="19">
        <v>17775</v>
      </c>
      <c r="AV199" s="36">
        <v>0.29</v>
      </c>
      <c r="AW199" s="14">
        <v>1669</v>
      </c>
      <c r="AX199" s="22">
        <v>48.961</v>
      </c>
      <c r="AY199" s="22">
        <v>39.57</v>
      </c>
      <c r="AZ199" s="22">
        <v>11.47</v>
      </c>
      <c r="BA199" s="22">
        <v>26.2</v>
      </c>
      <c r="BB199" s="22">
        <v>3.49</v>
      </c>
      <c r="BC199" s="22">
        <v>16.53</v>
      </c>
      <c r="BD199" s="22">
        <v>42.57</v>
      </c>
      <c r="BE199" s="22">
        <v>3.03</v>
      </c>
      <c r="BF199" s="22">
        <v>8.18</v>
      </c>
      <c r="BG199" s="55"/>
      <c r="BH199" s="14">
        <v>45661</v>
      </c>
      <c r="BI199" s="14"/>
      <c r="BJ199" s="14"/>
      <c r="BK199" s="14">
        <v>170</v>
      </c>
      <c r="BL199" s="14">
        <v>170</v>
      </c>
      <c r="BM199" s="14"/>
      <c r="BN199" s="274">
        <f>+BO199+BP199</f>
        <v>1674</v>
      </c>
      <c r="BO199" s="14"/>
      <c r="BP199" s="18">
        <v>1674</v>
      </c>
      <c r="BQ199" s="28">
        <v>17.12</v>
      </c>
      <c r="BR199" s="29">
        <v>11.1</v>
      </c>
      <c r="BS199" s="29"/>
      <c r="BT199" s="29">
        <v>43.26</v>
      </c>
      <c r="BU199" s="29">
        <v>53.26</v>
      </c>
      <c r="BV199" s="29"/>
      <c r="BW199" s="29">
        <v>2.61</v>
      </c>
      <c r="BX199" s="29">
        <v>11.02</v>
      </c>
      <c r="BY199" s="29"/>
      <c r="BZ199" s="29">
        <v>5.83</v>
      </c>
      <c r="CA199" s="29">
        <v>8.77</v>
      </c>
      <c r="CB199" s="30"/>
      <c r="CC199" s="28">
        <v>7.55</v>
      </c>
      <c r="CD199" s="29">
        <v>3.925</v>
      </c>
      <c r="CE199" s="29">
        <v>6.44</v>
      </c>
      <c r="CF199" s="29">
        <v>10.45</v>
      </c>
      <c r="CG199" s="45">
        <v>0.019</v>
      </c>
      <c r="CH199" s="45">
        <v>0.0505</v>
      </c>
      <c r="CI199" s="45">
        <v>0.0045</v>
      </c>
      <c r="CJ199" s="615">
        <v>0.0235</v>
      </c>
      <c r="CK199" s="29"/>
      <c r="CL199" s="29"/>
      <c r="CM199" s="29"/>
      <c r="CN199" s="29"/>
      <c r="CO199" s="45"/>
      <c r="CP199" s="45"/>
      <c r="CQ199" s="45"/>
      <c r="CR199" s="45"/>
    </row>
    <row r="200" spans="1:88" ht="16.5" customHeight="1">
      <c r="A200" s="478" t="s">
        <v>43</v>
      </c>
      <c r="B200" s="10" t="s">
        <v>48</v>
      </c>
      <c r="C200" s="11">
        <f>SUM(C201:C212)</f>
        <v>101061</v>
      </c>
      <c r="D200" s="12">
        <f>SUM(D201:D212)</f>
        <v>261</v>
      </c>
      <c r="E200" s="12">
        <f>SUM(F200:G200)</f>
        <v>14070</v>
      </c>
      <c r="F200" s="12">
        <f>SUM(F201:F212)</f>
        <v>11441</v>
      </c>
      <c r="G200" s="12">
        <f>SUM(G201:G212)</f>
        <v>2629</v>
      </c>
      <c r="H200" s="12">
        <f>SUM(H201:H212)</f>
        <v>3429</v>
      </c>
      <c r="I200" s="12">
        <f>SUM(I201:I212)</f>
        <v>2989</v>
      </c>
      <c r="J200" s="12">
        <f>SUM(J201:J212)</f>
        <v>440</v>
      </c>
      <c r="K200" s="16"/>
      <c r="L200" s="11">
        <f>SUM(L201:L212)</f>
        <v>62933</v>
      </c>
      <c r="M200" s="12">
        <f>SUM(M201:M212)</f>
        <v>60536</v>
      </c>
      <c r="N200" s="12">
        <f>SUM(N201:N212)</f>
        <v>2397</v>
      </c>
      <c r="O200" s="12"/>
      <c r="P200" s="12">
        <f>SUM(P201:P212)</f>
        <v>205</v>
      </c>
      <c r="Q200" s="12">
        <f>SUM(L200)/P200</f>
        <v>306.99024390243903</v>
      </c>
      <c r="R200" s="333">
        <v>102</v>
      </c>
      <c r="S200" s="12">
        <f>SUM(S201:S211)/10</f>
        <v>941.4</v>
      </c>
      <c r="T200" s="12">
        <f>SUM(T201:T212)</f>
        <v>52457</v>
      </c>
      <c r="U200" s="12">
        <f>SUM(U201:U212)</f>
        <v>983857</v>
      </c>
      <c r="V200" s="397"/>
      <c r="W200" s="397"/>
      <c r="X200" s="70">
        <f>SUM(X201:X211)/6</f>
        <v>3.2433333333333336</v>
      </c>
      <c r="Y200" s="11">
        <f>SUM(Y201:Y212)</f>
        <v>36604</v>
      </c>
      <c r="Z200" s="12">
        <f>SUM(Z201:Z212)</f>
        <v>36013</v>
      </c>
      <c r="AA200" s="12">
        <f>SUM(AA201:AA212)</f>
        <v>591</v>
      </c>
      <c r="AB200" s="12"/>
      <c r="AC200" s="12">
        <f>SUM(AC201:AC212)</f>
        <v>122</v>
      </c>
      <c r="AD200" s="12">
        <f>SUM(Y200)/AC200</f>
        <v>300.0327868852459</v>
      </c>
      <c r="AE200" s="333">
        <v>100</v>
      </c>
      <c r="AF200" s="333">
        <f>SUM(AF201:AF212)/8</f>
        <v>940</v>
      </c>
      <c r="AG200" s="333">
        <f>SUM(AG201:AG212)</f>
        <v>53951</v>
      </c>
      <c r="AH200" s="333">
        <f>SUM(AH201:AH212)</f>
        <v>640811</v>
      </c>
      <c r="AI200" s="12"/>
      <c r="AJ200" s="12"/>
      <c r="AK200" s="299">
        <f>SUM(AK201:AK212)/2</f>
        <v>3.75</v>
      </c>
      <c r="AL200" s="52">
        <f>SUM(AL201:AL212)</f>
        <v>187291</v>
      </c>
      <c r="AM200" s="47">
        <f>SUM(AM201:AM212)</f>
        <v>113612</v>
      </c>
      <c r="AN200" s="47"/>
      <c r="AO200" s="47"/>
      <c r="AP200" s="47"/>
      <c r="AQ200" s="47"/>
      <c r="AR200" s="47"/>
      <c r="AS200" s="47"/>
      <c r="AT200" s="47"/>
      <c r="AU200" s="48">
        <f>SUM(AU201:AU212)</f>
        <v>73679</v>
      </c>
      <c r="AV200" s="305">
        <f aca="true" t="shared" si="113" ref="AV200:BF200">SUM(AV201:AV212)/9</f>
        <v>0.3056666666666667</v>
      </c>
      <c r="AW200" s="12">
        <f t="shared" si="113"/>
        <v>1586.2222222222222</v>
      </c>
      <c r="AX200" s="58">
        <f t="shared" si="113"/>
        <v>56.36999999999999</v>
      </c>
      <c r="AY200" s="58">
        <f t="shared" si="113"/>
        <v>35.892222222222216</v>
      </c>
      <c r="AZ200" s="58">
        <f t="shared" si="113"/>
        <v>7.737777777777776</v>
      </c>
      <c r="BA200" s="58">
        <f t="shared" si="113"/>
        <v>19.03666666666667</v>
      </c>
      <c r="BB200" s="58">
        <f t="shared" si="113"/>
        <v>4.644444444444444</v>
      </c>
      <c r="BC200" s="58">
        <f t="shared" si="113"/>
        <v>14.70111111111111</v>
      </c>
      <c r="BD200" s="58">
        <f t="shared" si="113"/>
        <v>51.42333333333333</v>
      </c>
      <c r="BE200" s="58">
        <f t="shared" si="113"/>
        <v>5.52888888888889</v>
      </c>
      <c r="BF200" s="58">
        <f t="shared" si="113"/>
        <v>4.665555555555556</v>
      </c>
      <c r="BG200" s="402"/>
      <c r="BH200" s="11">
        <f>SUM(BH201:BH212)/9</f>
        <v>61367.77777777778</v>
      </c>
      <c r="BI200" s="12">
        <f>SUM(BI201:BI212)/7</f>
        <v>69314.14285714286</v>
      </c>
      <c r="BJ200" s="12"/>
      <c r="BK200" s="12">
        <f>SUM(BK201:BK212)/9</f>
        <v>200.66666666666666</v>
      </c>
      <c r="BL200" s="12">
        <f>SUM(BL201:BL212)/7</f>
        <v>198</v>
      </c>
      <c r="BM200" s="333"/>
      <c r="BN200" s="12">
        <f>SUM(BN201:BN212)</f>
        <v>16055</v>
      </c>
      <c r="BO200" s="12"/>
      <c r="BP200" s="16">
        <f>SUM(BP201:BP212)</f>
        <v>16055</v>
      </c>
      <c r="BQ200" s="41">
        <v>5.57</v>
      </c>
      <c r="BR200" s="34">
        <v>7.35</v>
      </c>
      <c r="BS200" s="407"/>
      <c r="BT200" s="34">
        <v>26.88</v>
      </c>
      <c r="BU200" s="34">
        <v>29.23</v>
      </c>
      <c r="BV200" s="407"/>
      <c r="BW200" s="34">
        <v>4.25</v>
      </c>
      <c r="BX200" s="34">
        <v>4.35</v>
      </c>
      <c r="BY200" s="407"/>
      <c r="BZ200" s="34">
        <v>5.77</v>
      </c>
      <c r="CA200" s="34">
        <v>6.09</v>
      </c>
      <c r="CB200" s="408"/>
      <c r="CC200" s="41">
        <v>7.62</v>
      </c>
      <c r="CD200" s="34">
        <v>3.08</v>
      </c>
      <c r="CE200" s="34">
        <v>8.22</v>
      </c>
      <c r="CF200" s="34">
        <v>6.71</v>
      </c>
      <c r="CG200" s="290">
        <v>0.1</v>
      </c>
      <c r="CH200" s="290">
        <v>0.15</v>
      </c>
      <c r="CI200" s="415" t="s">
        <v>38</v>
      </c>
      <c r="CJ200" s="416" t="s">
        <v>38</v>
      </c>
    </row>
    <row r="201" spans="1:88" ht="16.5" customHeight="1">
      <c r="A201" s="592"/>
      <c r="B201" s="3" t="s">
        <v>19</v>
      </c>
      <c r="C201" s="39">
        <v>1774</v>
      </c>
      <c r="D201" s="14"/>
      <c r="E201" s="14"/>
      <c r="F201" s="14"/>
      <c r="G201" s="14"/>
      <c r="H201" s="14">
        <v>0</v>
      </c>
      <c r="I201" s="14"/>
      <c r="J201" s="301"/>
      <c r="K201" s="18"/>
      <c r="L201" s="38"/>
      <c r="M201" s="13"/>
      <c r="N201" s="13"/>
      <c r="O201" s="13"/>
      <c r="P201" s="13"/>
      <c r="Q201" s="13"/>
      <c r="R201" s="13"/>
      <c r="S201" s="13"/>
      <c r="T201" s="13"/>
      <c r="U201" s="13"/>
      <c r="V201" s="398"/>
      <c r="W201" s="398"/>
      <c r="X201" s="54"/>
      <c r="Y201" s="39"/>
      <c r="Z201" s="14"/>
      <c r="AA201" s="14"/>
      <c r="AB201" s="14"/>
      <c r="AC201" s="14"/>
      <c r="AD201" s="14"/>
      <c r="AE201" s="301"/>
      <c r="AF201" s="301"/>
      <c r="AG201" s="301"/>
      <c r="AH201" s="301"/>
      <c r="AI201" s="14"/>
      <c r="AJ201" s="14"/>
      <c r="AK201" s="89"/>
      <c r="AL201" s="38"/>
      <c r="AM201" s="13"/>
      <c r="AN201" s="13"/>
      <c r="AO201" s="13"/>
      <c r="AP201" s="13"/>
      <c r="AQ201" s="13"/>
      <c r="AR201" s="13"/>
      <c r="AS201" s="13"/>
      <c r="AT201" s="13"/>
      <c r="AU201" s="17"/>
      <c r="AV201" s="306"/>
      <c r="AW201" s="13"/>
      <c r="AX201" s="21"/>
      <c r="AY201" s="21"/>
      <c r="AZ201" s="21"/>
      <c r="BA201" s="21"/>
      <c r="BB201" s="21"/>
      <c r="BC201" s="21"/>
      <c r="BD201" s="21"/>
      <c r="BE201" s="21"/>
      <c r="BF201" s="21"/>
      <c r="BG201" s="403"/>
      <c r="BH201" s="38"/>
      <c r="BI201" s="13"/>
      <c r="BJ201" s="13"/>
      <c r="BK201" s="13"/>
      <c r="BL201" s="13"/>
      <c r="BM201" s="340"/>
      <c r="BN201" s="13">
        <v>95</v>
      </c>
      <c r="BO201" s="13"/>
      <c r="BP201" s="17">
        <v>95</v>
      </c>
      <c r="BQ201" s="26"/>
      <c r="BR201" s="27"/>
      <c r="BS201" s="409"/>
      <c r="BT201" s="27"/>
      <c r="BU201" s="27"/>
      <c r="BV201" s="409"/>
      <c r="BW201" s="27"/>
      <c r="BX201" s="27"/>
      <c r="BY201" s="409"/>
      <c r="BZ201" s="27"/>
      <c r="CA201" s="27"/>
      <c r="CB201" s="410"/>
      <c r="CC201" s="26"/>
      <c r="CD201" s="27"/>
      <c r="CE201" s="27"/>
      <c r="CF201" s="27"/>
      <c r="CG201" s="292"/>
      <c r="CH201" s="292"/>
      <c r="CI201" s="417"/>
      <c r="CJ201" s="418"/>
    </row>
    <row r="202" spans="1:88" ht="16.5" customHeight="1">
      <c r="A202" s="592"/>
      <c r="B202" s="3" t="s">
        <v>20</v>
      </c>
      <c r="C202" s="39">
        <v>4408</v>
      </c>
      <c r="D202" s="14">
        <v>13</v>
      </c>
      <c r="E202" s="14">
        <f aca="true" t="shared" si="114" ref="E202:E212">SUM(F202:G202)</f>
        <v>758</v>
      </c>
      <c r="F202" s="14">
        <v>657</v>
      </c>
      <c r="G202" s="14">
        <v>101</v>
      </c>
      <c r="H202" s="14">
        <v>8</v>
      </c>
      <c r="I202" s="301">
        <v>8</v>
      </c>
      <c r="J202" s="301"/>
      <c r="K202" s="18"/>
      <c r="L202" s="39">
        <f aca="true" t="shared" si="115" ref="L202:L211">SUM(M202:O202)</f>
        <v>2157</v>
      </c>
      <c r="M202" s="14">
        <v>2155</v>
      </c>
      <c r="N202" s="14">
        <v>2</v>
      </c>
      <c r="O202" s="14"/>
      <c r="P202" s="14">
        <v>8</v>
      </c>
      <c r="Q202" s="14">
        <v>269</v>
      </c>
      <c r="R202" s="14"/>
      <c r="S202" s="14">
        <v>940</v>
      </c>
      <c r="T202" s="14">
        <v>20426</v>
      </c>
      <c r="U202" s="14">
        <v>55984</v>
      </c>
      <c r="V202" s="399"/>
      <c r="W202" s="399"/>
      <c r="X202" s="55"/>
      <c r="Y202" s="39">
        <f>SUM(Z202:AA202)</f>
        <v>3652</v>
      </c>
      <c r="Z202" s="14">
        <v>3646</v>
      </c>
      <c r="AA202" s="14">
        <v>6</v>
      </c>
      <c r="AB202" s="14"/>
      <c r="AC202" s="14">
        <v>15</v>
      </c>
      <c r="AD202" s="14">
        <f>SUM(Y202)/AC202</f>
        <v>243.46666666666667</v>
      </c>
      <c r="AE202" s="301"/>
      <c r="AF202" s="301">
        <v>922</v>
      </c>
      <c r="AG202" s="301">
        <v>22339</v>
      </c>
      <c r="AH202" s="301">
        <v>98190</v>
      </c>
      <c r="AI202" s="14"/>
      <c r="AJ202" s="14"/>
      <c r="AK202" s="89"/>
      <c r="AL202" s="39">
        <v>10057</v>
      </c>
      <c r="AM202" s="14">
        <v>6051</v>
      </c>
      <c r="AN202" s="14"/>
      <c r="AO202" s="14"/>
      <c r="AP202" s="14"/>
      <c r="AQ202" s="14"/>
      <c r="AR202" s="14"/>
      <c r="AS202" s="14"/>
      <c r="AT202" s="14"/>
      <c r="AU202" s="18">
        <v>4006</v>
      </c>
      <c r="AV202" s="307">
        <v>0.275</v>
      </c>
      <c r="AW202" s="14">
        <v>1890</v>
      </c>
      <c r="AX202" s="22">
        <v>53.1</v>
      </c>
      <c r="AY202" s="22">
        <v>40.1</v>
      </c>
      <c r="AZ202" s="22">
        <v>6.8</v>
      </c>
      <c r="BA202" s="22">
        <v>11.26</v>
      </c>
      <c r="BB202" s="22">
        <v>1.99</v>
      </c>
      <c r="BC202" s="86">
        <v>10.6</v>
      </c>
      <c r="BD202" s="22">
        <v>59.26</v>
      </c>
      <c r="BE202" s="22">
        <v>11.59</v>
      </c>
      <c r="BF202" s="22">
        <v>5.3</v>
      </c>
      <c r="BG202" s="404"/>
      <c r="BH202" s="39">
        <v>67784</v>
      </c>
      <c r="BI202" s="14">
        <v>63250</v>
      </c>
      <c r="BJ202" s="14"/>
      <c r="BK202" s="14">
        <v>202</v>
      </c>
      <c r="BL202" s="14">
        <v>190</v>
      </c>
      <c r="BM202" s="301"/>
      <c r="BN202" s="14">
        <v>997</v>
      </c>
      <c r="BO202" s="14"/>
      <c r="BP202" s="18">
        <v>997</v>
      </c>
      <c r="BQ202" s="28">
        <v>9.79</v>
      </c>
      <c r="BR202" s="29">
        <v>8.79</v>
      </c>
      <c r="BS202" s="411"/>
      <c r="BT202" s="29">
        <v>17.98</v>
      </c>
      <c r="BU202" s="29">
        <v>20.36</v>
      </c>
      <c r="BV202" s="411"/>
      <c r="BW202" s="29">
        <v>8.04</v>
      </c>
      <c r="BX202" s="29">
        <v>6.38</v>
      </c>
      <c r="BY202" s="411"/>
      <c r="BZ202" s="29">
        <v>5.37</v>
      </c>
      <c r="CA202" s="29">
        <v>6.96</v>
      </c>
      <c r="CB202" s="412"/>
      <c r="CC202" s="28">
        <v>7.5</v>
      </c>
      <c r="CD202" s="29">
        <v>1.265</v>
      </c>
      <c r="CE202" s="29">
        <v>6.9</v>
      </c>
      <c r="CF202" s="29">
        <v>8.7</v>
      </c>
      <c r="CG202" s="45">
        <v>0.05</v>
      </c>
      <c r="CH202" s="45">
        <v>0.1</v>
      </c>
      <c r="CI202" s="60" t="s">
        <v>38</v>
      </c>
      <c r="CJ202" s="59" t="s">
        <v>38</v>
      </c>
    </row>
    <row r="203" spans="1:88" ht="16.5" customHeight="1">
      <c r="A203" s="592"/>
      <c r="B203" s="3" t="s">
        <v>21</v>
      </c>
      <c r="C203" s="39">
        <v>593</v>
      </c>
      <c r="D203" s="14">
        <v>9</v>
      </c>
      <c r="E203" s="14">
        <f t="shared" si="114"/>
        <v>452</v>
      </c>
      <c r="F203" s="14">
        <v>326</v>
      </c>
      <c r="G203" s="14">
        <v>126</v>
      </c>
      <c r="H203" s="14">
        <v>9</v>
      </c>
      <c r="I203" s="301">
        <v>9</v>
      </c>
      <c r="J203" s="301"/>
      <c r="K203" s="18"/>
      <c r="L203" s="39">
        <f t="shared" si="115"/>
        <v>615</v>
      </c>
      <c r="M203" s="14">
        <v>607</v>
      </c>
      <c r="N203" s="14">
        <v>8</v>
      </c>
      <c r="O203" s="14"/>
      <c r="P203" s="14">
        <v>2</v>
      </c>
      <c r="Q203" s="14">
        <v>308</v>
      </c>
      <c r="R203" s="301"/>
      <c r="S203" s="301">
        <v>935</v>
      </c>
      <c r="T203" s="301">
        <v>3000</v>
      </c>
      <c r="U203" s="301">
        <v>14758</v>
      </c>
      <c r="V203" s="399"/>
      <c r="W203" s="399"/>
      <c r="X203" s="55"/>
      <c r="Y203" s="39">
        <v>297</v>
      </c>
      <c r="Z203" s="14">
        <v>297</v>
      </c>
      <c r="AA203" s="14"/>
      <c r="AB203" s="14"/>
      <c r="AC203" s="14">
        <v>1</v>
      </c>
      <c r="AD203" s="14">
        <f>SUM(Y203)/AC203</f>
        <v>297</v>
      </c>
      <c r="AE203" s="301"/>
      <c r="AF203" s="301">
        <v>935</v>
      </c>
      <c r="AG203" s="301">
        <v>3000</v>
      </c>
      <c r="AH203" s="301">
        <v>22967</v>
      </c>
      <c r="AI203" s="14"/>
      <c r="AJ203" s="14"/>
      <c r="AK203" s="89"/>
      <c r="AL203" s="39">
        <v>1871</v>
      </c>
      <c r="AM203" s="14">
        <v>1102</v>
      </c>
      <c r="AN203" s="14"/>
      <c r="AO203" s="14"/>
      <c r="AP203" s="14"/>
      <c r="AQ203" s="14"/>
      <c r="AR203" s="14"/>
      <c r="AS203" s="14"/>
      <c r="AT203" s="14"/>
      <c r="AU203" s="18">
        <v>769</v>
      </c>
      <c r="AV203" s="307"/>
      <c r="AW203" s="14"/>
      <c r="AX203" s="22"/>
      <c r="AY203" s="22"/>
      <c r="AZ203" s="22"/>
      <c r="BA203" s="22"/>
      <c r="BB203" s="22"/>
      <c r="BC203" s="22"/>
      <c r="BD203" s="22"/>
      <c r="BE203" s="22"/>
      <c r="BF203" s="22"/>
      <c r="BG203" s="405"/>
      <c r="BH203" s="39"/>
      <c r="BI203" s="14"/>
      <c r="BJ203" s="14"/>
      <c r="BK203" s="14"/>
      <c r="BL203" s="14"/>
      <c r="BM203" s="301"/>
      <c r="BN203" s="14">
        <v>580</v>
      </c>
      <c r="BO203" s="14"/>
      <c r="BP203" s="18">
        <v>580</v>
      </c>
      <c r="BQ203" s="28"/>
      <c r="BR203" s="29"/>
      <c r="BS203" s="411"/>
      <c r="BT203" s="29"/>
      <c r="BU203" s="29"/>
      <c r="BV203" s="411"/>
      <c r="BW203" s="29"/>
      <c r="BX203" s="29"/>
      <c r="BY203" s="411"/>
      <c r="BZ203" s="29"/>
      <c r="CA203" s="29"/>
      <c r="CB203" s="412"/>
      <c r="CC203" s="28"/>
      <c r="CD203" s="29"/>
      <c r="CE203" s="29"/>
      <c r="CF203" s="29"/>
      <c r="CG203" s="45"/>
      <c r="CH203" s="45"/>
      <c r="CI203" s="60"/>
      <c r="CJ203" s="59"/>
    </row>
    <row r="204" spans="1:88" ht="16.5" customHeight="1">
      <c r="A204" s="592"/>
      <c r="B204" s="3" t="s">
        <v>22</v>
      </c>
      <c r="C204" s="39">
        <v>4784</v>
      </c>
      <c r="D204" s="14">
        <v>12</v>
      </c>
      <c r="E204" s="14">
        <f t="shared" si="114"/>
        <v>196</v>
      </c>
      <c r="F204" s="14">
        <v>175</v>
      </c>
      <c r="G204" s="14">
        <v>21</v>
      </c>
      <c r="H204" s="14">
        <v>112</v>
      </c>
      <c r="I204" s="301">
        <v>112</v>
      </c>
      <c r="J204" s="301"/>
      <c r="K204" s="18"/>
      <c r="L204" s="39">
        <f t="shared" si="115"/>
        <v>2144</v>
      </c>
      <c r="M204" s="14">
        <v>2032</v>
      </c>
      <c r="N204" s="14">
        <v>112</v>
      </c>
      <c r="O204" s="14"/>
      <c r="P204" s="14">
        <v>8</v>
      </c>
      <c r="Q204" s="14">
        <f>SUM(L204)/P204</f>
        <v>268</v>
      </c>
      <c r="R204" s="301"/>
      <c r="S204" s="301">
        <v>956</v>
      </c>
      <c r="T204" s="301">
        <v>10121</v>
      </c>
      <c r="U204" s="301">
        <v>45263</v>
      </c>
      <c r="V204" s="399"/>
      <c r="W204" s="399"/>
      <c r="X204" s="55"/>
      <c r="Y204" s="39"/>
      <c r="Z204" s="14"/>
      <c r="AA204" s="14"/>
      <c r="AB204" s="14"/>
      <c r="AC204" s="14"/>
      <c r="AD204" s="14"/>
      <c r="AE204" s="301"/>
      <c r="AF204" s="301"/>
      <c r="AG204" s="301"/>
      <c r="AH204" s="301"/>
      <c r="AI204" s="14"/>
      <c r="AJ204" s="14"/>
      <c r="AK204" s="89"/>
      <c r="AL204" s="39">
        <v>3966</v>
      </c>
      <c r="AM204" s="14">
        <v>2071</v>
      </c>
      <c r="AN204" s="14"/>
      <c r="AO204" s="14"/>
      <c r="AP204" s="14"/>
      <c r="AQ204" s="14"/>
      <c r="AR204" s="14"/>
      <c r="AS204" s="14"/>
      <c r="AT204" s="14"/>
      <c r="AU204" s="18">
        <v>1895</v>
      </c>
      <c r="AV204" s="307"/>
      <c r="AW204" s="14"/>
      <c r="AX204" s="22"/>
      <c r="AY204" s="22"/>
      <c r="AZ204" s="22"/>
      <c r="BA204" s="22"/>
      <c r="BB204" s="22"/>
      <c r="BC204" s="22"/>
      <c r="BD204" s="22"/>
      <c r="BE204" s="22"/>
      <c r="BF204" s="22"/>
      <c r="BG204" s="405"/>
      <c r="BH204" s="39">
        <v>55646</v>
      </c>
      <c r="BI204" s="14"/>
      <c r="BJ204" s="14"/>
      <c r="BK204" s="14">
        <v>203</v>
      </c>
      <c r="BL204" s="14"/>
      <c r="BM204" s="301"/>
      <c r="BN204" s="14">
        <v>419</v>
      </c>
      <c r="BO204" s="14"/>
      <c r="BP204" s="18">
        <v>419</v>
      </c>
      <c r="BQ204" s="28">
        <v>4.6</v>
      </c>
      <c r="BR204" s="29"/>
      <c r="BS204" s="411"/>
      <c r="BT204" s="29">
        <v>9.3</v>
      </c>
      <c r="BU204" s="29"/>
      <c r="BV204" s="411"/>
      <c r="BW204" s="29">
        <v>1.9</v>
      </c>
      <c r="BX204" s="29"/>
      <c r="BY204" s="411"/>
      <c r="BZ204" s="29">
        <v>1</v>
      </c>
      <c r="CA204" s="29"/>
      <c r="CB204" s="412"/>
      <c r="CC204" s="28">
        <v>7.5</v>
      </c>
      <c r="CD204" s="29">
        <v>1.265</v>
      </c>
      <c r="CE204" s="29">
        <v>11.01</v>
      </c>
      <c r="CF204" s="29">
        <v>10.97</v>
      </c>
      <c r="CG204" s="45">
        <v>0.05</v>
      </c>
      <c r="CH204" s="45">
        <v>0.1</v>
      </c>
      <c r="CI204" s="60" t="s">
        <v>38</v>
      </c>
      <c r="CJ204" s="59" t="s">
        <v>38</v>
      </c>
    </row>
    <row r="205" spans="1:88" ht="16.5" customHeight="1">
      <c r="A205" s="592"/>
      <c r="B205" s="3" t="s">
        <v>23</v>
      </c>
      <c r="C205" s="39">
        <v>12237</v>
      </c>
      <c r="D205" s="14">
        <v>27</v>
      </c>
      <c r="E205" s="14">
        <f t="shared" si="114"/>
        <v>1884</v>
      </c>
      <c r="F205" s="14">
        <v>1606</v>
      </c>
      <c r="G205" s="14">
        <v>278</v>
      </c>
      <c r="H205" s="14">
        <v>386</v>
      </c>
      <c r="I205" s="301">
        <v>386</v>
      </c>
      <c r="J205" s="301"/>
      <c r="K205" s="18"/>
      <c r="L205" s="39">
        <f t="shared" si="115"/>
        <v>9230</v>
      </c>
      <c r="M205" s="14">
        <v>8915</v>
      </c>
      <c r="N205" s="14">
        <v>315</v>
      </c>
      <c r="O205" s="14"/>
      <c r="P205" s="14">
        <v>29</v>
      </c>
      <c r="Q205" s="14">
        <f>SUM(L205)/P205</f>
        <v>318.2758620689655</v>
      </c>
      <c r="R205" s="301"/>
      <c r="S205" s="301">
        <v>972</v>
      </c>
      <c r="T205" s="301">
        <v>4000</v>
      </c>
      <c r="U205" s="301">
        <v>179152</v>
      </c>
      <c r="V205" s="399"/>
      <c r="W205" s="399"/>
      <c r="X205" s="55"/>
      <c r="Y205" s="39">
        <f>SUM(Z205:AA205)</f>
        <v>2506</v>
      </c>
      <c r="Z205" s="14">
        <v>2435</v>
      </c>
      <c r="AA205" s="14">
        <v>71</v>
      </c>
      <c r="AB205" s="14"/>
      <c r="AC205" s="14">
        <v>9</v>
      </c>
      <c r="AD205" s="14">
        <f>SUM(Y205)/AC205</f>
        <v>278.44444444444446</v>
      </c>
      <c r="AE205" s="301"/>
      <c r="AF205" s="301">
        <v>973</v>
      </c>
      <c r="AG205" s="301">
        <v>8680</v>
      </c>
      <c r="AH205" s="301">
        <v>56652</v>
      </c>
      <c r="AI205" s="14"/>
      <c r="AJ205" s="14"/>
      <c r="AK205" s="89"/>
      <c r="AL205" s="39">
        <v>23015</v>
      </c>
      <c r="AM205" s="14">
        <v>14780</v>
      </c>
      <c r="AN205" s="14"/>
      <c r="AO205" s="14"/>
      <c r="AP205" s="14"/>
      <c r="AQ205" s="14"/>
      <c r="AR205" s="14"/>
      <c r="AS205" s="14"/>
      <c r="AT205" s="14"/>
      <c r="AU205" s="18">
        <v>8235</v>
      </c>
      <c r="AV205" s="307">
        <v>0.251</v>
      </c>
      <c r="AW205" s="14">
        <v>1850</v>
      </c>
      <c r="AX205" s="22">
        <v>49.28</v>
      </c>
      <c r="AY205" s="22">
        <v>40.89</v>
      </c>
      <c r="AZ205" s="22">
        <v>9.83</v>
      </c>
      <c r="BA205" s="22">
        <v>30.09</v>
      </c>
      <c r="BB205" s="22">
        <v>3.63</v>
      </c>
      <c r="BC205" s="22">
        <v>12.33</v>
      </c>
      <c r="BD205" s="22">
        <v>45.25</v>
      </c>
      <c r="BE205" s="22">
        <v>1.81</v>
      </c>
      <c r="BF205" s="22">
        <v>6.89</v>
      </c>
      <c r="BG205" s="405"/>
      <c r="BH205" s="39">
        <v>63583</v>
      </c>
      <c r="BI205" s="14">
        <v>70230</v>
      </c>
      <c r="BJ205" s="14"/>
      <c r="BK205" s="14">
        <v>205</v>
      </c>
      <c r="BL205" s="14">
        <v>195</v>
      </c>
      <c r="BM205" s="301"/>
      <c r="BN205" s="14">
        <v>2188</v>
      </c>
      <c r="BO205" s="14"/>
      <c r="BP205" s="18">
        <v>2188</v>
      </c>
      <c r="BQ205" s="28">
        <v>10.14</v>
      </c>
      <c r="BR205" s="29">
        <v>8.97</v>
      </c>
      <c r="BS205" s="411"/>
      <c r="BT205" s="29">
        <v>23.09</v>
      </c>
      <c r="BU205" s="29">
        <v>29.14</v>
      </c>
      <c r="BV205" s="411"/>
      <c r="BW205" s="29">
        <v>4.48</v>
      </c>
      <c r="BX205" s="29">
        <v>3.87</v>
      </c>
      <c r="BY205" s="411"/>
      <c r="BZ205" s="29">
        <v>9.85</v>
      </c>
      <c r="CA205" s="29">
        <v>8.59</v>
      </c>
      <c r="CB205" s="412"/>
      <c r="CC205" s="28"/>
      <c r="CD205" s="29"/>
      <c r="CE205" s="29"/>
      <c r="CF205" s="29"/>
      <c r="CG205" s="45"/>
      <c r="CH205" s="45"/>
      <c r="CI205" s="60"/>
      <c r="CJ205" s="59"/>
    </row>
    <row r="206" spans="1:88" ht="16.5" customHeight="1">
      <c r="A206" s="592"/>
      <c r="B206" s="3" t="s">
        <v>24</v>
      </c>
      <c r="C206" s="39">
        <v>10792</v>
      </c>
      <c r="D206" s="14">
        <v>26</v>
      </c>
      <c r="E206" s="14">
        <f t="shared" si="114"/>
        <v>2236</v>
      </c>
      <c r="F206" s="14">
        <v>1834</v>
      </c>
      <c r="G206" s="14">
        <v>402</v>
      </c>
      <c r="H206" s="14">
        <v>395</v>
      </c>
      <c r="I206" s="301">
        <v>395</v>
      </c>
      <c r="J206" s="301"/>
      <c r="K206" s="18"/>
      <c r="L206" s="39">
        <f t="shared" si="115"/>
        <v>4940</v>
      </c>
      <c r="M206" s="14">
        <v>4819</v>
      </c>
      <c r="N206" s="14">
        <v>121</v>
      </c>
      <c r="O206" s="14"/>
      <c r="P206" s="14">
        <v>17</v>
      </c>
      <c r="Q206" s="14">
        <f>SUM(L206)/P206</f>
        <v>290.5882352941176</v>
      </c>
      <c r="R206" s="301"/>
      <c r="S206" s="301">
        <v>958</v>
      </c>
      <c r="T206" s="301">
        <v>9870</v>
      </c>
      <c r="U206" s="301">
        <v>108418</v>
      </c>
      <c r="V206" s="399"/>
      <c r="W206" s="399"/>
      <c r="X206" s="55">
        <v>2.5</v>
      </c>
      <c r="Y206" s="39">
        <f>SUM(Z206:AA206)</f>
        <v>9248</v>
      </c>
      <c r="Z206" s="14">
        <v>8974</v>
      </c>
      <c r="AA206" s="14">
        <v>274</v>
      </c>
      <c r="AB206" s="14"/>
      <c r="AC206" s="14">
        <v>30</v>
      </c>
      <c r="AD206" s="14">
        <f>SUM(Y206)/AC206</f>
        <v>308.26666666666665</v>
      </c>
      <c r="AE206" s="301"/>
      <c r="AF206" s="301">
        <v>958</v>
      </c>
      <c r="AG206" s="301">
        <v>4200</v>
      </c>
      <c r="AH206" s="301">
        <v>192675</v>
      </c>
      <c r="AI206" s="14"/>
      <c r="AJ206" s="14"/>
      <c r="AK206" s="89"/>
      <c r="AL206" s="39">
        <v>27914</v>
      </c>
      <c r="AM206" s="14">
        <v>18242</v>
      </c>
      <c r="AN206" s="14"/>
      <c r="AO206" s="14"/>
      <c r="AP206" s="14"/>
      <c r="AQ206" s="14"/>
      <c r="AR206" s="14"/>
      <c r="AS206" s="14"/>
      <c r="AT206" s="14"/>
      <c r="AU206" s="18">
        <v>9672</v>
      </c>
      <c r="AV206" s="307">
        <v>0.384</v>
      </c>
      <c r="AW206" s="14">
        <v>1285</v>
      </c>
      <c r="AX206" s="22">
        <v>60.28</v>
      </c>
      <c r="AY206" s="22">
        <v>28.35</v>
      </c>
      <c r="AZ206" s="22">
        <v>11.37</v>
      </c>
      <c r="BA206" s="22">
        <v>14.93</v>
      </c>
      <c r="BB206" s="22">
        <v>2.13</v>
      </c>
      <c r="BC206" s="22">
        <v>16.11</v>
      </c>
      <c r="BD206" s="22">
        <v>54.71</v>
      </c>
      <c r="BE206" s="22">
        <v>4.98</v>
      </c>
      <c r="BF206" s="22">
        <v>7.14</v>
      </c>
      <c r="BG206" s="405"/>
      <c r="BH206" s="39">
        <v>63195</v>
      </c>
      <c r="BI206" s="14">
        <v>72605</v>
      </c>
      <c r="BJ206" s="14"/>
      <c r="BK206" s="14">
        <v>202</v>
      </c>
      <c r="BL206" s="14">
        <v>198</v>
      </c>
      <c r="BM206" s="301"/>
      <c r="BN206" s="14">
        <v>1968</v>
      </c>
      <c r="BO206" s="14"/>
      <c r="BP206" s="18">
        <v>1968</v>
      </c>
      <c r="BQ206" s="28">
        <v>4.66</v>
      </c>
      <c r="BR206" s="29">
        <v>7.27</v>
      </c>
      <c r="BS206" s="411"/>
      <c r="BT206" s="29">
        <v>29.36</v>
      </c>
      <c r="BU206" s="29">
        <v>29.65</v>
      </c>
      <c r="BV206" s="411"/>
      <c r="BW206" s="29">
        <v>3.73</v>
      </c>
      <c r="BX206" s="29">
        <v>3.25</v>
      </c>
      <c r="BY206" s="411"/>
      <c r="BZ206" s="29">
        <v>6.77</v>
      </c>
      <c r="CA206" s="29">
        <v>9.29</v>
      </c>
      <c r="CB206" s="412"/>
      <c r="CC206" s="28"/>
      <c r="CD206" s="29"/>
      <c r="CE206" s="29"/>
      <c r="CF206" s="29"/>
      <c r="CG206" s="45"/>
      <c r="CH206" s="45"/>
      <c r="CI206" s="60"/>
      <c r="CJ206" s="59"/>
    </row>
    <row r="207" spans="1:88" ht="16.5" customHeight="1">
      <c r="A207" s="592"/>
      <c r="B207" s="3" t="s">
        <v>25</v>
      </c>
      <c r="C207" s="39">
        <v>12187</v>
      </c>
      <c r="D207" s="14">
        <v>26</v>
      </c>
      <c r="E207" s="14">
        <f t="shared" si="114"/>
        <v>1404</v>
      </c>
      <c r="F207" s="14">
        <v>1164</v>
      </c>
      <c r="G207" s="14">
        <v>240</v>
      </c>
      <c r="H207" s="14">
        <v>459</v>
      </c>
      <c r="I207" s="301">
        <v>422</v>
      </c>
      <c r="J207" s="301">
        <v>37</v>
      </c>
      <c r="K207" s="18"/>
      <c r="L207" s="39">
        <f t="shared" si="115"/>
        <v>9663</v>
      </c>
      <c r="M207" s="14">
        <v>9241</v>
      </c>
      <c r="N207" s="14">
        <v>422</v>
      </c>
      <c r="O207" s="14"/>
      <c r="P207" s="14">
        <v>31</v>
      </c>
      <c r="Q207" s="14">
        <v>312</v>
      </c>
      <c r="R207" s="301"/>
      <c r="S207" s="301">
        <v>925</v>
      </c>
      <c r="T207" s="301">
        <v>670</v>
      </c>
      <c r="U207" s="301">
        <v>182416</v>
      </c>
      <c r="V207" s="399"/>
      <c r="W207" s="399"/>
      <c r="X207" s="55">
        <v>2.77</v>
      </c>
      <c r="Y207" s="39"/>
      <c r="Z207" s="14"/>
      <c r="AA207" s="14"/>
      <c r="AB207" s="14"/>
      <c r="AC207" s="14"/>
      <c r="AD207" s="14"/>
      <c r="AE207" s="301"/>
      <c r="AF207" s="301"/>
      <c r="AG207" s="301">
        <v>1832</v>
      </c>
      <c r="AH207" s="301"/>
      <c r="AI207" s="14"/>
      <c r="AJ207" s="14"/>
      <c r="AK207" s="89"/>
      <c r="AL207" s="39">
        <v>17961</v>
      </c>
      <c r="AM207" s="14">
        <v>10594</v>
      </c>
      <c r="AN207" s="14"/>
      <c r="AO207" s="14"/>
      <c r="AP207" s="14"/>
      <c r="AQ207" s="14"/>
      <c r="AR207" s="14"/>
      <c r="AS207" s="14"/>
      <c r="AT207" s="14"/>
      <c r="AU207" s="18">
        <v>7367</v>
      </c>
      <c r="AV207" s="307">
        <v>0.325</v>
      </c>
      <c r="AW207" s="14">
        <v>1375</v>
      </c>
      <c r="AX207" s="22">
        <v>60.59</v>
      </c>
      <c r="AY207" s="22">
        <v>31.61</v>
      </c>
      <c r="AZ207" s="22">
        <v>7.8</v>
      </c>
      <c r="BA207" s="22">
        <v>15.36</v>
      </c>
      <c r="BB207" s="22">
        <v>2.79</v>
      </c>
      <c r="BC207" s="22">
        <v>20.67</v>
      </c>
      <c r="BD207" s="22">
        <v>53.07</v>
      </c>
      <c r="BE207" s="22">
        <v>2.51</v>
      </c>
      <c r="BF207" s="22">
        <v>5.6</v>
      </c>
      <c r="BG207" s="405"/>
      <c r="BH207" s="39">
        <v>60098</v>
      </c>
      <c r="BI207" s="14"/>
      <c r="BJ207" s="14"/>
      <c r="BK207" s="14">
        <v>199</v>
      </c>
      <c r="BL207" s="14"/>
      <c r="BM207" s="301"/>
      <c r="BN207" s="14">
        <v>1493</v>
      </c>
      <c r="BO207" s="14"/>
      <c r="BP207" s="18">
        <v>1493</v>
      </c>
      <c r="BQ207" s="28">
        <v>5.48</v>
      </c>
      <c r="BR207" s="29">
        <v>4.32</v>
      </c>
      <c r="BS207" s="411"/>
      <c r="BT207" s="29">
        <v>28.65</v>
      </c>
      <c r="BU207" s="29">
        <v>17.88</v>
      </c>
      <c r="BV207" s="411"/>
      <c r="BW207" s="29">
        <v>3.72</v>
      </c>
      <c r="BX207" s="29">
        <v>4.16</v>
      </c>
      <c r="BY207" s="411"/>
      <c r="BZ207" s="29">
        <v>6.8</v>
      </c>
      <c r="CA207" s="29">
        <v>3.72</v>
      </c>
      <c r="CB207" s="412"/>
      <c r="CC207" s="28">
        <v>7.52</v>
      </c>
      <c r="CD207" s="29">
        <v>2.85</v>
      </c>
      <c r="CE207" s="29">
        <v>12.86</v>
      </c>
      <c r="CF207" s="29">
        <v>10.31</v>
      </c>
      <c r="CG207" s="45">
        <v>0.2</v>
      </c>
      <c r="CH207" s="45">
        <v>0.15</v>
      </c>
      <c r="CI207" s="60" t="s">
        <v>38</v>
      </c>
      <c r="CJ207" s="59" t="s">
        <v>38</v>
      </c>
    </row>
    <row r="208" spans="1:88" ht="16.5" customHeight="1">
      <c r="A208" s="592"/>
      <c r="B208" s="3" t="s">
        <v>26</v>
      </c>
      <c r="C208" s="39">
        <v>11537</v>
      </c>
      <c r="D208" s="14">
        <v>27</v>
      </c>
      <c r="E208" s="14">
        <f t="shared" si="114"/>
        <v>1389</v>
      </c>
      <c r="F208" s="14">
        <v>1073</v>
      </c>
      <c r="G208" s="14">
        <v>316</v>
      </c>
      <c r="H208" s="14">
        <v>936</v>
      </c>
      <c r="I208" s="301">
        <v>649</v>
      </c>
      <c r="J208" s="301">
        <v>287</v>
      </c>
      <c r="K208" s="18"/>
      <c r="L208" s="39">
        <f t="shared" si="115"/>
        <v>9900</v>
      </c>
      <c r="M208" s="14">
        <v>9251</v>
      </c>
      <c r="N208" s="14">
        <v>649</v>
      </c>
      <c r="O208" s="14"/>
      <c r="P208" s="14">
        <v>31</v>
      </c>
      <c r="Q208" s="14">
        <v>319</v>
      </c>
      <c r="R208" s="301"/>
      <c r="S208" s="301">
        <v>932</v>
      </c>
      <c r="T208" s="301">
        <v>670</v>
      </c>
      <c r="U208" s="301">
        <v>109264</v>
      </c>
      <c r="V208" s="399"/>
      <c r="W208" s="399"/>
      <c r="X208" s="55">
        <v>3.04</v>
      </c>
      <c r="Y208" s="39"/>
      <c r="Z208" s="14"/>
      <c r="AA208" s="14"/>
      <c r="AB208" s="14"/>
      <c r="AC208" s="14"/>
      <c r="AD208" s="14"/>
      <c r="AE208" s="301"/>
      <c r="AF208" s="301"/>
      <c r="AG208" s="301"/>
      <c r="AH208" s="301"/>
      <c r="AI208" s="14"/>
      <c r="AJ208" s="14"/>
      <c r="AK208" s="89"/>
      <c r="AL208" s="39">
        <v>17690</v>
      </c>
      <c r="AM208" s="14">
        <v>10306</v>
      </c>
      <c r="AN208" s="14"/>
      <c r="AO208" s="14"/>
      <c r="AP208" s="14"/>
      <c r="AQ208" s="14"/>
      <c r="AR208" s="14"/>
      <c r="AS208" s="14"/>
      <c r="AT208" s="14"/>
      <c r="AU208" s="18">
        <v>7384</v>
      </c>
      <c r="AV208" s="307">
        <v>0.348</v>
      </c>
      <c r="AW208" s="14">
        <v>1340</v>
      </c>
      <c r="AX208" s="22">
        <v>62.28</v>
      </c>
      <c r="AY208" s="22">
        <v>27.08</v>
      </c>
      <c r="AZ208" s="22">
        <v>10.64</v>
      </c>
      <c r="BA208" s="22">
        <v>15.04</v>
      </c>
      <c r="BB208" s="22">
        <v>9.4</v>
      </c>
      <c r="BC208" s="22">
        <v>12.27</v>
      </c>
      <c r="BD208" s="22">
        <v>52.48</v>
      </c>
      <c r="BE208" s="22">
        <v>4.02</v>
      </c>
      <c r="BF208" s="22">
        <v>6.79</v>
      </c>
      <c r="BG208" s="405"/>
      <c r="BH208" s="39">
        <v>58560</v>
      </c>
      <c r="BI208" s="14"/>
      <c r="BJ208" s="14"/>
      <c r="BK208" s="14">
        <v>199</v>
      </c>
      <c r="BL208" s="14"/>
      <c r="BM208" s="301"/>
      <c r="BN208" s="14">
        <v>1553</v>
      </c>
      <c r="BO208" s="14"/>
      <c r="BP208" s="18">
        <v>1553</v>
      </c>
      <c r="BQ208" s="28">
        <v>5.86</v>
      </c>
      <c r="BR208" s="29"/>
      <c r="BS208" s="411"/>
      <c r="BT208" s="29">
        <v>27.63</v>
      </c>
      <c r="BU208" s="29"/>
      <c r="BV208" s="411"/>
      <c r="BW208" s="29">
        <v>3.52</v>
      </c>
      <c r="BX208" s="29"/>
      <c r="BY208" s="411"/>
      <c r="BZ208" s="29">
        <v>9.16</v>
      </c>
      <c r="CA208" s="29"/>
      <c r="CB208" s="412"/>
      <c r="CC208" s="28">
        <v>7.95</v>
      </c>
      <c r="CD208" s="29">
        <v>2.38</v>
      </c>
      <c r="CE208" s="29">
        <v>5.96</v>
      </c>
      <c r="CF208" s="29">
        <v>1.8</v>
      </c>
      <c r="CG208" s="45">
        <v>0.13</v>
      </c>
      <c r="CH208" s="45">
        <v>0.175</v>
      </c>
      <c r="CI208" s="60" t="s">
        <v>38</v>
      </c>
      <c r="CJ208" s="59" t="s">
        <v>38</v>
      </c>
    </row>
    <row r="209" spans="1:88" ht="16.5" customHeight="1">
      <c r="A209" s="592"/>
      <c r="B209" s="3" t="s">
        <v>27</v>
      </c>
      <c r="C209" s="39">
        <v>10987</v>
      </c>
      <c r="D209" s="14">
        <v>29</v>
      </c>
      <c r="E209" s="14">
        <f t="shared" si="114"/>
        <v>1456</v>
      </c>
      <c r="F209" s="14">
        <v>1154</v>
      </c>
      <c r="G209" s="14">
        <v>302</v>
      </c>
      <c r="H209" s="14">
        <v>574</v>
      </c>
      <c r="I209" s="301">
        <v>458</v>
      </c>
      <c r="J209" s="301">
        <v>116</v>
      </c>
      <c r="K209" s="18"/>
      <c r="L209" s="39">
        <f t="shared" si="115"/>
        <v>9366</v>
      </c>
      <c r="M209" s="14">
        <v>8963</v>
      </c>
      <c r="N209" s="14">
        <v>403</v>
      </c>
      <c r="O209" s="14"/>
      <c r="P209" s="14">
        <v>30</v>
      </c>
      <c r="Q209" s="14">
        <v>312</v>
      </c>
      <c r="R209" s="301"/>
      <c r="S209" s="301">
        <v>934</v>
      </c>
      <c r="T209" s="301"/>
      <c r="U209" s="301">
        <v>114695</v>
      </c>
      <c r="V209" s="399"/>
      <c r="W209" s="399"/>
      <c r="X209" s="55">
        <v>3.31</v>
      </c>
      <c r="Y209" s="39">
        <f>SUM(Z209:AA209)</f>
        <v>3582</v>
      </c>
      <c r="Z209" s="14">
        <v>3527</v>
      </c>
      <c r="AA209" s="14">
        <v>55</v>
      </c>
      <c r="AB209" s="14"/>
      <c r="AC209" s="14">
        <v>12</v>
      </c>
      <c r="AD209" s="14">
        <f>SUM(Y209)/AC209</f>
        <v>298.5</v>
      </c>
      <c r="AE209" s="301"/>
      <c r="AF209" s="301">
        <v>943</v>
      </c>
      <c r="AG209" s="301">
        <v>4500</v>
      </c>
      <c r="AH209" s="301">
        <v>49060</v>
      </c>
      <c r="AI209" s="14"/>
      <c r="AJ209" s="14"/>
      <c r="AK209" s="89">
        <v>3.74</v>
      </c>
      <c r="AL209" s="39">
        <v>23710</v>
      </c>
      <c r="AM209" s="14">
        <v>14127</v>
      </c>
      <c r="AN209" s="14"/>
      <c r="AO209" s="14"/>
      <c r="AP209" s="14"/>
      <c r="AQ209" s="14"/>
      <c r="AR209" s="14"/>
      <c r="AS209" s="14"/>
      <c r="AT209" s="14"/>
      <c r="AU209" s="18">
        <v>9583</v>
      </c>
      <c r="AV209" s="307">
        <v>0.383</v>
      </c>
      <c r="AW209" s="14">
        <v>1385</v>
      </c>
      <c r="AX209" s="22">
        <v>59.16</v>
      </c>
      <c r="AY209" s="22">
        <v>34.57</v>
      </c>
      <c r="AZ209" s="22">
        <v>6.27</v>
      </c>
      <c r="BA209" s="22">
        <v>22.09</v>
      </c>
      <c r="BB209" s="22">
        <v>0.71</v>
      </c>
      <c r="BC209" s="22">
        <v>13.78</v>
      </c>
      <c r="BD209" s="22">
        <v>55.11</v>
      </c>
      <c r="BE209" s="22">
        <v>6.41</v>
      </c>
      <c r="BF209" s="22">
        <v>1.9</v>
      </c>
      <c r="BG209" s="405"/>
      <c r="BH209" s="39">
        <v>60558</v>
      </c>
      <c r="BI209" s="14">
        <v>68962</v>
      </c>
      <c r="BJ209" s="14"/>
      <c r="BK209" s="14">
        <v>198</v>
      </c>
      <c r="BL209" s="14">
        <v>199</v>
      </c>
      <c r="BM209" s="301"/>
      <c r="BN209" s="14">
        <v>1825</v>
      </c>
      <c r="BO209" s="14"/>
      <c r="BP209" s="18">
        <v>1825</v>
      </c>
      <c r="BQ209" s="28">
        <v>4.78</v>
      </c>
      <c r="BR209" s="29">
        <v>9.47</v>
      </c>
      <c r="BS209" s="411"/>
      <c r="BT209" s="29">
        <v>32.08</v>
      </c>
      <c r="BU209" s="29">
        <v>38.39</v>
      </c>
      <c r="BV209" s="411"/>
      <c r="BW209" s="29">
        <v>5.83</v>
      </c>
      <c r="BX209" s="29">
        <v>6.94</v>
      </c>
      <c r="BY209" s="411"/>
      <c r="BZ209" s="29">
        <v>5.64</v>
      </c>
      <c r="CA209" s="29">
        <v>5.5</v>
      </c>
      <c r="CB209" s="412"/>
      <c r="CC209" s="28">
        <v>7.6</v>
      </c>
      <c r="CD209" s="29">
        <v>4.8</v>
      </c>
      <c r="CE209" s="29">
        <v>5.37</v>
      </c>
      <c r="CF209" s="29">
        <v>3</v>
      </c>
      <c r="CG209" s="45">
        <v>0.01</v>
      </c>
      <c r="CH209" s="45">
        <v>0.1</v>
      </c>
      <c r="CI209" s="60" t="s">
        <v>38</v>
      </c>
      <c r="CJ209" s="59" t="s">
        <v>38</v>
      </c>
    </row>
    <row r="210" spans="1:88" ht="16.5" customHeight="1">
      <c r="A210" s="592"/>
      <c r="B210" s="3" t="s">
        <v>28</v>
      </c>
      <c r="C210" s="39">
        <v>10613</v>
      </c>
      <c r="D210" s="14">
        <v>31</v>
      </c>
      <c r="E210" s="14">
        <f t="shared" si="114"/>
        <v>1387</v>
      </c>
      <c r="F210" s="14">
        <v>1098</v>
      </c>
      <c r="G210" s="14">
        <v>289</v>
      </c>
      <c r="H210" s="14">
        <v>246</v>
      </c>
      <c r="I210" s="301">
        <v>246</v>
      </c>
      <c r="J210" s="301"/>
      <c r="K210" s="18"/>
      <c r="L210" s="39">
        <f t="shared" si="115"/>
        <v>9540</v>
      </c>
      <c r="M210" s="14">
        <v>9303</v>
      </c>
      <c r="N210" s="14">
        <v>237</v>
      </c>
      <c r="O210" s="14"/>
      <c r="P210" s="14">
        <v>31</v>
      </c>
      <c r="Q210" s="14">
        <f>SUM(L210)/P210</f>
        <v>307.741935483871</v>
      </c>
      <c r="R210" s="301"/>
      <c r="S210" s="301">
        <v>938</v>
      </c>
      <c r="T210" s="301"/>
      <c r="U210" s="301">
        <v>111558</v>
      </c>
      <c r="V210" s="399"/>
      <c r="W210" s="399"/>
      <c r="X210" s="55">
        <v>3.75</v>
      </c>
      <c r="Y210" s="39">
        <f>SUM(Z210:AA210)</f>
        <v>828</v>
      </c>
      <c r="Z210" s="14">
        <v>819</v>
      </c>
      <c r="AA210" s="14">
        <v>9</v>
      </c>
      <c r="AB210" s="14"/>
      <c r="AC210" s="14">
        <v>3</v>
      </c>
      <c r="AD210" s="14">
        <f>SUM(Y210)/AC210</f>
        <v>276</v>
      </c>
      <c r="AE210" s="301"/>
      <c r="AF210" s="301">
        <v>944</v>
      </c>
      <c r="AG210" s="301">
        <v>3000</v>
      </c>
      <c r="AH210" s="301">
        <v>6707</v>
      </c>
      <c r="AI210" s="14"/>
      <c r="AJ210" s="14"/>
      <c r="AK210" s="89"/>
      <c r="AL210" s="39">
        <v>18487</v>
      </c>
      <c r="AM210" s="14">
        <v>12203</v>
      </c>
      <c r="AN210" s="14"/>
      <c r="AO210" s="14"/>
      <c r="AP210" s="14"/>
      <c r="AQ210" s="14"/>
      <c r="AR210" s="14"/>
      <c r="AS210" s="14"/>
      <c r="AT210" s="14"/>
      <c r="AU210" s="18">
        <v>6284</v>
      </c>
      <c r="AV210" s="307">
        <v>0.24</v>
      </c>
      <c r="AW210" s="14">
        <v>1929</v>
      </c>
      <c r="AX210" s="22">
        <v>50.15</v>
      </c>
      <c r="AY210" s="22">
        <v>43.95</v>
      </c>
      <c r="AZ210" s="22">
        <v>5.9</v>
      </c>
      <c r="BA210" s="22">
        <v>28.92</v>
      </c>
      <c r="BB210" s="22">
        <v>1.21</v>
      </c>
      <c r="BC210" s="22">
        <v>19.83</v>
      </c>
      <c r="BD210" s="22">
        <v>39.14</v>
      </c>
      <c r="BE210" s="22">
        <v>7.27</v>
      </c>
      <c r="BF210" s="22">
        <v>3.63</v>
      </c>
      <c r="BG210" s="405"/>
      <c r="BH210" s="39">
        <v>60742</v>
      </c>
      <c r="BI210" s="14">
        <v>69448</v>
      </c>
      <c r="BJ210" s="14"/>
      <c r="BK210" s="14">
        <v>198</v>
      </c>
      <c r="BL210" s="14">
        <v>201</v>
      </c>
      <c r="BM210" s="301"/>
      <c r="BN210" s="14">
        <v>1650</v>
      </c>
      <c r="BO210" s="14"/>
      <c r="BP210" s="18">
        <v>1650</v>
      </c>
      <c r="BQ210" s="28">
        <v>2.57</v>
      </c>
      <c r="BR210" s="29"/>
      <c r="BS210" s="411"/>
      <c r="BT210" s="29">
        <v>32.32</v>
      </c>
      <c r="BU210" s="29"/>
      <c r="BV210" s="411"/>
      <c r="BW210" s="29">
        <v>2.24</v>
      </c>
      <c r="BX210" s="29"/>
      <c r="BY210" s="411"/>
      <c r="BZ210" s="29">
        <v>4.44</v>
      </c>
      <c r="CA210" s="29"/>
      <c r="CB210" s="412"/>
      <c r="CC210" s="28">
        <v>7.9</v>
      </c>
      <c r="CD210" s="29">
        <v>3.87</v>
      </c>
      <c r="CE210" s="29">
        <v>6.87</v>
      </c>
      <c r="CF210" s="29">
        <v>5</v>
      </c>
      <c r="CG210" s="45">
        <v>0.1</v>
      </c>
      <c r="CH210" s="45">
        <v>0.15</v>
      </c>
      <c r="CI210" s="60" t="s">
        <v>38</v>
      </c>
      <c r="CJ210" s="59" t="s">
        <v>38</v>
      </c>
    </row>
    <row r="211" spans="1:88" ht="16.5" customHeight="1">
      <c r="A211" s="592"/>
      <c r="B211" s="3" t="s">
        <v>29</v>
      </c>
      <c r="C211" s="39">
        <v>10506</v>
      </c>
      <c r="D211" s="14">
        <v>30</v>
      </c>
      <c r="E211" s="14">
        <f t="shared" si="114"/>
        <v>1580</v>
      </c>
      <c r="F211" s="14">
        <v>1281</v>
      </c>
      <c r="G211" s="14">
        <v>299</v>
      </c>
      <c r="H211" s="14">
        <v>200</v>
      </c>
      <c r="I211" s="301">
        <v>200</v>
      </c>
      <c r="J211" s="301"/>
      <c r="K211" s="18"/>
      <c r="L211" s="39">
        <f t="shared" si="115"/>
        <v>5378</v>
      </c>
      <c r="M211" s="14">
        <v>5250</v>
      </c>
      <c r="N211" s="14">
        <v>128</v>
      </c>
      <c r="O211" s="14"/>
      <c r="P211" s="14">
        <v>18</v>
      </c>
      <c r="Q211" s="14">
        <f>SUM(L211)/P211</f>
        <v>298.77777777777777</v>
      </c>
      <c r="R211" s="301"/>
      <c r="S211" s="301">
        <v>924</v>
      </c>
      <c r="T211" s="301">
        <v>3700</v>
      </c>
      <c r="U211" s="301">
        <v>62349</v>
      </c>
      <c r="V211" s="399"/>
      <c r="W211" s="399"/>
      <c r="X211" s="55">
        <v>4.09</v>
      </c>
      <c r="Y211" s="39">
        <f>SUM(Z211:AA211)</f>
        <v>6366</v>
      </c>
      <c r="Z211" s="14">
        <v>6294</v>
      </c>
      <c r="AA211" s="14">
        <v>72</v>
      </c>
      <c r="AB211" s="14"/>
      <c r="AC211" s="14">
        <v>21</v>
      </c>
      <c r="AD211" s="14">
        <f>SUM(Y211)/AC211</f>
        <v>303.14285714285717</v>
      </c>
      <c r="AE211" s="301"/>
      <c r="AF211" s="301">
        <v>920</v>
      </c>
      <c r="AG211" s="301">
        <v>5300</v>
      </c>
      <c r="AH211" s="301">
        <v>76024</v>
      </c>
      <c r="AI211" s="14"/>
      <c r="AJ211" s="14"/>
      <c r="AK211" s="89">
        <v>3.76</v>
      </c>
      <c r="AL211" s="39">
        <v>23713</v>
      </c>
      <c r="AM211" s="14">
        <v>13552</v>
      </c>
      <c r="AN211" s="14"/>
      <c r="AO211" s="14"/>
      <c r="AP211" s="14"/>
      <c r="AQ211" s="14"/>
      <c r="AR211" s="14"/>
      <c r="AS211" s="14"/>
      <c r="AT211" s="14"/>
      <c r="AU211" s="18">
        <v>10161</v>
      </c>
      <c r="AV211" s="307">
        <v>0.281</v>
      </c>
      <c r="AW211" s="14">
        <v>1552</v>
      </c>
      <c r="AX211" s="22">
        <v>55.84</v>
      </c>
      <c r="AY211" s="22">
        <v>38.68</v>
      </c>
      <c r="AZ211" s="22">
        <v>5.48</v>
      </c>
      <c r="BA211" s="22">
        <v>18.12</v>
      </c>
      <c r="BB211" s="22">
        <v>6.15</v>
      </c>
      <c r="BC211" s="22">
        <v>13.27</v>
      </c>
      <c r="BD211" s="22">
        <v>57.93</v>
      </c>
      <c r="BE211" s="22">
        <v>3.24</v>
      </c>
      <c r="BF211" s="22">
        <v>1.29</v>
      </c>
      <c r="BG211" s="405"/>
      <c r="BH211" s="39">
        <v>62144</v>
      </c>
      <c r="BI211" s="14">
        <v>70655</v>
      </c>
      <c r="BJ211" s="14"/>
      <c r="BK211" s="14">
        <v>200</v>
      </c>
      <c r="BL211" s="14">
        <v>201</v>
      </c>
      <c r="BM211" s="301"/>
      <c r="BN211" s="14">
        <v>1673</v>
      </c>
      <c r="BO211" s="14"/>
      <c r="BP211" s="18">
        <v>1673</v>
      </c>
      <c r="BQ211" s="28">
        <v>2.21</v>
      </c>
      <c r="BR211" s="29">
        <v>5.57</v>
      </c>
      <c r="BS211" s="411"/>
      <c r="BT211" s="29">
        <v>41.51</v>
      </c>
      <c r="BU211" s="29">
        <v>39.56</v>
      </c>
      <c r="BV211" s="411"/>
      <c r="BW211" s="29">
        <v>4.81</v>
      </c>
      <c r="BX211" s="29">
        <v>3.85</v>
      </c>
      <c r="BY211" s="411"/>
      <c r="BZ211" s="29">
        <v>2.88</v>
      </c>
      <c r="CA211" s="29">
        <v>4.71</v>
      </c>
      <c r="CB211" s="412"/>
      <c r="CC211" s="28">
        <v>7.3</v>
      </c>
      <c r="CD211" s="29">
        <v>4.8</v>
      </c>
      <c r="CE211" s="29">
        <v>8.8</v>
      </c>
      <c r="CF211" s="29">
        <v>8</v>
      </c>
      <c r="CG211" s="45">
        <v>0.15</v>
      </c>
      <c r="CH211" s="45">
        <v>0.25</v>
      </c>
      <c r="CI211" s="60" t="s">
        <v>38</v>
      </c>
      <c r="CJ211" s="59" t="s">
        <v>38</v>
      </c>
    </row>
    <row r="212" spans="1:88" ht="16.5" customHeight="1" thickBot="1">
      <c r="A212" s="593"/>
      <c r="B212" s="4" t="s">
        <v>30</v>
      </c>
      <c r="C212" s="40">
        <v>10643</v>
      </c>
      <c r="D212" s="15">
        <v>31</v>
      </c>
      <c r="E212" s="15">
        <f t="shared" si="114"/>
        <v>1328</v>
      </c>
      <c r="F212" s="15">
        <v>1073</v>
      </c>
      <c r="G212" s="15">
        <v>255</v>
      </c>
      <c r="H212" s="15">
        <v>104</v>
      </c>
      <c r="I212" s="15">
        <v>104</v>
      </c>
      <c r="J212" s="15"/>
      <c r="K212" s="19"/>
      <c r="L212" s="40"/>
      <c r="M212" s="15"/>
      <c r="N212" s="15"/>
      <c r="O212" s="15"/>
      <c r="P212" s="15">
        <v>0</v>
      </c>
      <c r="Q212" s="15"/>
      <c r="R212" s="15"/>
      <c r="S212" s="15"/>
      <c r="T212" s="15"/>
      <c r="U212" s="15"/>
      <c r="V212" s="400"/>
      <c r="W212" s="400"/>
      <c r="X212" s="71"/>
      <c r="Y212" s="40">
        <f>SUM(Z212:AA212)</f>
        <v>10125</v>
      </c>
      <c r="Z212" s="15">
        <v>10021</v>
      </c>
      <c r="AA212" s="15">
        <v>104</v>
      </c>
      <c r="AB212" s="15"/>
      <c r="AC212" s="15">
        <v>31</v>
      </c>
      <c r="AD212" s="15">
        <f>SUM(Y212)/31</f>
        <v>326.61290322580646</v>
      </c>
      <c r="AE212" s="336"/>
      <c r="AF212" s="336">
        <v>925</v>
      </c>
      <c r="AG212" s="336">
        <v>1100</v>
      </c>
      <c r="AH212" s="336">
        <v>138536</v>
      </c>
      <c r="AI212" s="15"/>
      <c r="AJ212" s="15"/>
      <c r="AK212" s="302"/>
      <c r="AL212" s="40">
        <v>18907</v>
      </c>
      <c r="AM212" s="15">
        <v>10584</v>
      </c>
      <c r="AN212" s="15"/>
      <c r="AO212" s="15"/>
      <c r="AP212" s="15"/>
      <c r="AQ212" s="15"/>
      <c r="AR212" s="15"/>
      <c r="AS212" s="15"/>
      <c r="AT212" s="15"/>
      <c r="AU212" s="19">
        <v>8323</v>
      </c>
      <c r="AV212" s="308">
        <v>0.264</v>
      </c>
      <c r="AW212" s="15">
        <v>1670</v>
      </c>
      <c r="AX212" s="43">
        <v>56.65</v>
      </c>
      <c r="AY212" s="43">
        <v>37.8</v>
      </c>
      <c r="AZ212" s="43">
        <v>5.55</v>
      </c>
      <c r="BA212" s="43">
        <v>15.52</v>
      </c>
      <c r="BB212" s="43">
        <v>13.79</v>
      </c>
      <c r="BC212" s="43">
        <v>13.45</v>
      </c>
      <c r="BD212" s="43">
        <v>45.86</v>
      </c>
      <c r="BE212" s="43">
        <v>7.93</v>
      </c>
      <c r="BF212" s="43">
        <v>3.45</v>
      </c>
      <c r="BG212" s="406"/>
      <c r="BH212" s="40"/>
      <c r="BI212" s="15">
        <v>70049</v>
      </c>
      <c r="BJ212" s="15"/>
      <c r="BK212" s="15"/>
      <c r="BL212" s="15">
        <v>202</v>
      </c>
      <c r="BM212" s="336"/>
      <c r="BN212" s="15">
        <v>1614</v>
      </c>
      <c r="BO212" s="15"/>
      <c r="BP212" s="19">
        <v>1614</v>
      </c>
      <c r="BQ212" s="42"/>
      <c r="BR212" s="31">
        <v>7.09</v>
      </c>
      <c r="BS212" s="413"/>
      <c r="BT212" s="31"/>
      <c r="BU212" s="31">
        <v>29.65</v>
      </c>
      <c r="BV212" s="413"/>
      <c r="BW212" s="31"/>
      <c r="BX212" s="31">
        <v>1.98</v>
      </c>
      <c r="BY212" s="413"/>
      <c r="BZ212" s="31"/>
      <c r="CA212" s="31">
        <v>3.87</v>
      </c>
      <c r="CB212" s="414"/>
      <c r="CC212" s="42">
        <v>7.68</v>
      </c>
      <c r="CD212" s="31">
        <v>3.38</v>
      </c>
      <c r="CE212" s="31">
        <v>7.95</v>
      </c>
      <c r="CF212" s="31">
        <v>5.89</v>
      </c>
      <c r="CG212" s="294">
        <v>0.13</v>
      </c>
      <c r="CH212" s="294">
        <v>0.16</v>
      </c>
      <c r="CI212" s="419" t="s">
        <v>38</v>
      </c>
      <c r="CJ212" s="420" t="s">
        <v>38</v>
      </c>
    </row>
    <row r="213" spans="1:88" ht="16.5" customHeight="1">
      <c r="A213" s="590" t="s">
        <v>44</v>
      </c>
      <c r="B213" s="2" t="s">
        <v>48</v>
      </c>
      <c r="C213" s="52">
        <f aca="true" t="shared" si="116" ref="C213:J213">SUM(C214:C225)</f>
        <v>64600</v>
      </c>
      <c r="D213" s="47">
        <f t="shared" si="116"/>
        <v>138</v>
      </c>
      <c r="E213" s="47">
        <f t="shared" si="116"/>
        <v>9968</v>
      </c>
      <c r="F213" s="47">
        <f t="shared" si="116"/>
        <v>8464</v>
      </c>
      <c r="G213" s="47">
        <f t="shared" si="116"/>
        <v>1504</v>
      </c>
      <c r="H213" s="47">
        <f>SUM(H214:H225)</f>
        <v>4540</v>
      </c>
      <c r="I213" s="47">
        <f t="shared" si="116"/>
        <v>2400</v>
      </c>
      <c r="J213" s="47">
        <f t="shared" si="116"/>
        <v>2140</v>
      </c>
      <c r="K213" s="48"/>
      <c r="L213" s="49">
        <f>SUM(L214:L225)</f>
        <v>32765</v>
      </c>
      <c r="M213" s="50">
        <f>SUM(M214:M225)</f>
        <v>31545</v>
      </c>
      <c r="N213" s="50">
        <f>SUM(N214:N225)</f>
        <v>1220</v>
      </c>
      <c r="O213" s="50"/>
      <c r="P213" s="50">
        <f>SUM(P218:P225)</f>
        <v>171</v>
      </c>
      <c r="Q213" s="50">
        <f>AVERAGE(Q220:Q225)</f>
        <v>191.09808789153809</v>
      </c>
      <c r="R213" s="50">
        <f>AVERAGE(R220:R225)</f>
        <v>92.83333333333333</v>
      </c>
      <c r="S213" s="50">
        <f>AVERAGE(S220:S225)</f>
        <v>899.1666666666666</v>
      </c>
      <c r="T213" s="50">
        <f>AVERAGE(T220:T225)</f>
        <v>44008.666666666664</v>
      </c>
      <c r="U213" s="50">
        <f>AVERAGE(U220:U225)</f>
        <v>68756.83333333333</v>
      </c>
      <c r="V213" s="50"/>
      <c r="W213" s="50"/>
      <c r="X213" s="401">
        <f>AVERAGE(X220:X225)</f>
        <v>2.8833333333333333</v>
      </c>
      <c r="Y213" s="49">
        <f>SUM(Y214:Y225)</f>
        <v>32863</v>
      </c>
      <c r="Z213" s="50">
        <f>SUM(Z214:Z225)</f>
        <v>31579</v>
      </c>
      <c r="AA213" s="50">
        <f>SUM(AA214:AA225)</f>
        <v>1284</v>
      </c>
      <c r="AB213" s="50"/>
      <c r="AC213" s="50">
        <f>SUM(AC218:AC225)</f>
        <v>171</v>
      </c>
      <c r="AD213" s="50">
        <f>AVERAGE(AD214:AD225)</f>
        <v>191.68571918341908</v>
      </c>
      <c r="AE213" s="50">
        <f>AVERAGE(AE214:AE225)</f>
        <v>92.83333333333333</v>
      </c>
      <c r="AF213" s="50">
        <f>AVERAGE(AF214:AF225)</f>
        <v>891.5</v>
      </c>
      <c r="AG213" s="50">
        <f>AVERAGE(AG214:AG225)</f>
        <v>41164.166666666664</v>
      </c>
      <c r="AH213" s="50">
        <f>AVERAGE(AH214:AH225)</f>
        <v>69266.83333333333</v>
      </c>
      <c r="AI213" s="50"/>
      <c r="AJ213" s="50"/>
      <c r="AK213" s="401">
        <f>AVERAGE(AK220:AK225)</f>
        <v>2.8333333333333335</v>
      </c>
      <c r="AL213" s="49">
        <f>SUM(AL214:AL225)</f>
        <v>92277</v>
      </c>
      <c r="AM213" s="50"/>
      <c r="AN213" s="50"/>
      <c r="AO213" s="50">
        <f>SUM(AO214:AO225)</f>
        <v>51538</v>
      </c>
      <c r="AP213" s="50">
        <f>SUM(AP214:AP225)</f>
        <v>4134</v>
      </c>
      <c r="AQ213" s="50">
        <f>SUM(AQ214:AQ225)</f>
        <v>4134</v>
      </c>
      <c r="AR213" s="50"/>
      <c r="AS213" s="50"/>
      <c r="AT213" s="50"/>
      <c r="AU213" s="51">
        <f>SUM(AU214:AU225)</f>
        <v>40739</v>
      </c>
      <c r="AV213" s="37">
        <f aca="true" t="shared" si="117" ref="AV213:BF213">AVERAGE(AV214:AV225)</f>
        <v>0.3999999999999999</v>
      </c>
      <c r="AW213" s="47">
        <f t="shared" si="117"/>
        <v>1146</v>
      </c>
      <c r="AX213" s="20">
        <f t="shared" si="117"/>
        <v>60.73333333333334</v>
      </c>
      <c r="AY213" s="20">
        <f t="shared" si="117"/>
        <v>29.38333333333333</v>
      </c>
      <c r="AZ213" s="20">
        <f t="shared" si="117"/>
        <v>9.933333333333335</v>
      </c>
      <c r="BA213" s="20">
        <f t="shared" si="117"/>
        <v>20.75</v>
      </c>
      <c r="BB213" s="20">
        <f t="shared" si="117"/>
        <v>2.9499999999999997</v>
      </c>
      <c r="BC213" s="20">
        <f t="shared" si="117"/>
        <v>16.766666666666666</v>
      </c>
      <c r="BD213" s="20">
        <f t="shared" si="117"/>
        <v>47.53333333333333</v>
      </c>
      <c r="BE213" s="20">
        <f t="shared" si="117"/>
        <v>6.55</v>
      </c>
      <c r="BF213" s="20">
        <f t="shared" si="117"/>
        <v>5.516666666666667</v>
      </c>
      <c r="BG213" s="53"/>
      <c r="BH213" s="52">
        <f>AVERAGE(BH220:BH225)</f>
        <v>43794.6111111111</v>
      </c>
      <c r="BI213" s="47">
        <f>AVERAGE(BI220:BI225)</f>
        <v>43167.222222222226</v>
      </c>
      <c r="BJ213" s="47"/>
      <c r="BK213" s="47">
        <f>AVERAGE(BK220:BK225)</f>
        <v>189.16666666666666</v>
      </c>
      <c r="BL213" s="47">
        <f>AVERAGE(BL220:BL225)</f>
        <v>190</v>
      </c>
      <c r="BM213" s="47"/>
      <c r="BN213" s="47">
        <f>SUM(BN214:BN225)</f>
        <v>19576</v>
      </c>
      <c r="BO213" s="47" t="s">
        <v>45</v>
      </c>
      <c r="BP213" s="48">
        <f>SUM(BP214:BP225)</f>
        <v>19576</v>
      </c>
      <c r="BQ213" s="23">
        <f>AVERAGE(BQ214:BQ225)</f>
        <v>2.05</v>
      </c>
      <c r="BR213" s="24">
        <f>AVERAGE(BR214:BR225)</f>
        <v>2.0833333333333335</v>
      </c>
      <c r="BS213" s="24"/>
      <c r="BT213" s="24">
        <f>AVERAGE(BT214:BT225)</f>
        <v>26.95</v>
      </c>
      <c r="BU213" s="24">
        <f>AVERAGE(BU214:BU225)</f>
        <v>29.149999999999995</v>
      </c>
      <c r="BV213" s="24"/>
      <c r="BW213" s="24">
        <f>AVERAGE(BW214:BW225)</f>
        <v>1.1166666666666667</v>
      </c>
      <c r="BX213" s="24">
        <f>AVERAGE(BX214:BX225)</f>
        <v>0.6499999999999999</v>
      </c>
      <c r="BY213" s="24"/>
      <c r="BZ213" s="24">
        <f>AVERAGE(BZ214:BZ225)</f>
        <v>9.583333333333334</v>
      </c>
      <c r="CA213" s="24">
        <f>AVERAGE(CA214:CA225)</f>
        <v>9.85</v>
      </c>
      <c r="CB213" s="25"/>
      <c r="CC213" s="23">
        <f aca="true" t="shared" si="118" ref="CC213:CH213">AVERAGE(CC214:CC225)</f>
        <v>7.833333333333333</v>
      </c>
      <c r="CD213" s="24">
        <f t="shared" si="118"/>
        <v>6.26</v>
      </c>
      <c r="CE213" s="24">
        <f t="shared" si="118"/>
        <v>7.8</v>
      </c>
      <c r="CF213" s="24">
        <f t="shared" si="118"/>
        <v>12.950000000000001</v>
      </c>
      <c r="CG213" s="56">
        <f t="shared" si="118"/>
        <v>0.03675</v>
      </c>
      <c r="CH213" s="56">
        <f t="shared" si="118"/>
        <v>0.022000000000000002</v>
      </c>
      <c r="CI213" s="56">
        <v>0</v>
      </c>
      <c r="CJ213" s="57">
        <f>AVERAGE(CJ214:CJ225)</f>
        <v>0.0195</v>
      </c>
    </row>
    <row r="214" spans="1:88" ht="16.5" customHeight="1">
      <c r="A214" s="591"/>
      <c r="B214" s="3" t="s">
        <v>19</v>
      </c>
      <c r="C214" s="39"/>
      <c r="D214" s="14"/>
      <c r="E214" s="14"/>
      <c r="F214" s="14"/>
      <c r="G214" s="14"/>
      <c r="H214" s="14"/>
      <c r="I214" s="14"/>
      <c r="J214" s="14"/>
      <c r="K214" s="18"/>
      <c r="L214" s="39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89"/>
      <c r="Y214" s="39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89"/>
      <c r="AL214" s="38"/>
      <c r="AM214" s="13"/>
      <c r="AN214" s="13"/>
      <c r="AO214" s="13"/>
      <c r="AP214" s="13"/>
      <c r="AQ214" s="13"/>
      <c r="AR214" s="13"/>
      <c r="AS214" s="13"/>
      <c r="AT214" s="13"/>
      <c r="AU214" s="17"/>
      <c r="AV214" s="35"/>
      <c r="AW214" s="13"/>
      <c r="AX214" s="21"/>
      <c r="AY214" s="21"/>
      <c r="AZ214" s="21"/>
      <c r="BA214" s="21"/>
      <c r="BB214" s="21"/>
      <c r="BC214" s="21"/>
      <c r="BD214" s="21"/>
      <c r="BE214" s="21"/>
      <c r="BF214" s="21"/>
      <c r="BG214" s="54"/>
      <c r="BH214" s="13"/>
      <c r="BI214" s="13"/>
      <c r="BJ214" s="13"/>
      <c r="BK214" s="13"/>
      <c r="BL214" s="13"/>
      <c r="BM214" s="13"/>
      <c r="BN214" s="13"/>
      <c r="BO214" s="13"/>
      <c r="BP214" s="17"/>
      <c r="BQ214" s="26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44"/>
      <c r="CC214" s="28"/>
      <c r="CD214" s="29"/>
      <c r="CE214" s="29"/>
      <c r="CF214" s="29"/>
      <c r="CG214" s="45"/>
      <c r="CH214" s="45"/>
      <c r="CI214" s="45"/>
      <c r="CJ214" s="46"/>
    </row>
    <row r="215" spans="1:88" ht="16.5" customHeight="1">
      <c r="A215" s="591"/>
      <c r="B215" s="3" t="s">
        <v>20</v>
      </c>
      <c r="C215" s="39"/>
      <c r="D215" s="14"/>
      <c r="E215" s="14"/>
      <c r="F215" s="14"/>
      <c r="G215" s="14"/>
      <c r="H215" s="14"/>
      <c r="I215" s="14"/>
      <c r="J215" s="14"/>
      <c r="K215" s="18"/>
      <c r="L215" s="39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89"/>
      <c r="Y215" s="39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89"/>
      <c r="AL215" s="39"/>
      <c r="AM215" s="14"/>
      <c r="AN215" s="14"/>
      <c r="AO215" s="14"/>
      <c r="AP215" s="14"/>
      <c r="AQ215" s="14"/>
      <c r="AR215" s="14"/>
      <c r="AS215" s="14"/>
      <c r="AT215" s="14"/>
      <c r="AU215" s="18"/>
      <c r="AV215" s="36"/>
      <c r="AW215" s="14"/>
      <c r="AX215" s="22"/>
      <c r="AY215" s="22"/>
      <c r="AZ215" s="22"/>
      <c r="BA215" s="22"/>
      <c r="BB215" s="22"/>
      <c r="BC215" s="22"/>
      <c r="BD215" s="22"/>
      <c r="BE215" s="22"/>
      <c r="BF215" s="22"/>
      <c r="BG215" s="55"/>
      <c r="BH215" s="14"/>
      <c r="BI215" s="14"/>
      <c r="BJ215" s="14"/>
      <c r="BK215" s="14"/>
      <c r="BL215" s="14"/>
      <c r="BM215" s="14"/>
      <c r="BN215" s="14"/>
      <c r="BO215" s="14"/>
      <c r="BP215" s="18"/>
      <c r="BQ215" s="28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30"/>
      <c r="CC215" s="28"/>
      <c r="CD215" s="29"/>
      <c r="CE215" s="29"/>
      <c r="CF215" s="29"/>
      <c r="CG215" s="45"/>
      <c r="CH215" s="45"/>
      <c r="CI215" s="45"/>
      <c r="CJ215" s="46"/>
    </row>
    <row r="216" spans="1:88" ht="16.5" customHeight="1">
      <c r="A216" s="592"/>
      <c r="B216" s="3" t="s">
        <v>21</v>
      </c>
      <c r="C216" s="39"/>
      <c r="D216" s="14"/>
      <c r="E216" s="14"/>
      <c r="F216" s="14"/>
      <c r="G216" s="14"/>
      <c r="H216" s="14">
        <v>0</v>
      </c>
      <c r="I216" s="14"/>
      <c r="J216" s="14"/>
      <c r="K216" s="18"/>
      <c r="L216" s="39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89"/>
      <c r="Y216" s="39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89"/>
      <c r="AL216" s="39"/>
      <c r="AM216" s="14"/>
      <c r="AN216" s="14"/>
      <c r="AO216" s="14"/>
      <c r="AP216" s="14"/>
      <c r="AQ216" s="14"/>
      <c r="AR216" s="14"/>
      <c r="AS216" s="14"/>
      <c r="AT216" s="14"/>
      <c r="AU216" s="18"/>
      <c r="AV216" s="36"/>
      <c r="AW216" s="14"/>
      <c r="AX216" s="22"/>
      <c r="AY216" s="22"/>
      <c r="AZ216" s="22"/>
      <c r="BA216" s="22"/>
      <c r="BB216" s="22"/>
      <c r="BC216" s="22"/>
      <c r="BD216" s="22"/>
      <c r="BE216" s="22"/>
      <c r="BF216" s="22"/>
      <c r="BG216" s="55"/>
      <c r="BH216" s="14"/>
      <c r="BI216" s="14" t="s">
        <v>45</v>
      </c>
      <c r="BJ216" s="14"/>
      <c r="BK216" s="14"/>
      <c r="BL216" s="14"/>
      <c r="BM216" s="14"/>
      <c r="BN216" s="14"/>
      <c r="BO216" s="14"/>
      <c r="BP216" s="18"/>
      <c r="BQ216" s="28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30"/>
      <c r="CC216" s="28"/>
      <c r="CD216" s="29"/>
      <c r="CE216" s="29"/>
      <c r="CF216" s="29"/>
      <c r="CG216" s="45"/>
      <c r="CH216" s="45"/>
      <c r="CI216" s="45"/>
      <c r="CJ216" s="46"/>
    </row>
    <row r="217" spans="1:88" ht="16.5" customHeight="1">
      <c r="A217" s="592"/>
      <c r="B217" s="3" t="s">
        <v>22</v>
      </c>
      <c r="C217" s="39"/>
      <c r="D217" s="14"/>
      <c r="E217" s="14"/>
      <c r="F217" s="14"/>
      <c r="G217" s="14"/>
      <c r="H217" s="14">
        <v>0</v>
      </c>
      <c r="I217" s="14"/>
      <c r="J217" s="14"/>
      <c r="K217" s="18"/>
      <c r="L217" s="39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89"/>
      <c r="Y217" s="39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89"/>
      <c r="AL217" s="39"/>
      <c r="AM217" s="14"/>
      <c r="AN217" s="14"/>
      <c r="AO217" s="14"/>
      <c r="AP217" s="14"/>
      <c r="AQ217" s="14"/>
      <c r="AR217" s="14"/>
      <c r="AS217" s="14"/>
      <c r="AT217" s="14"/>
      <c r="AU217" s="18"/>
      <c r="AV217" s="36"/>
      <c r="AW217" s="14"/>
      <c r="AX217" s="22"/>
      <c r="AY217" s="22"/>
      <c r="AZ217" s="22"/>
      <c r="BA217" s="22"/>
      <c r="BB217" s="22"/>
      <c r="BC217" s="22"/>
      <c r="BD217" s="22"/>
      <c r="BE217" s="22"/>
      <c r="BF217" s="22"/>
      <c r="BG217" s="55"/>
      <c r="BH217" s="14"/>
      <c r="BI217" s="14"/>
      <c r="BJ217" s="14"/>
      <c r="BK217" s="14"/>
      <c r="BL217" s="14"/>
      <c r="BM217" s="14"/>
      <c r="BN217" s="14"/>
      <c r="BO217" s="14"/>
      <c r="BP217" s="18"/>
      <c r="BQ217" s="28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30"/>
      <c r="CC217" s="28"/>
      <c r="CD217" s="29"/>
      <c r="CE217" s="29"/>
      <c r="CF217" s="29"/>
      <c r="CG217" s="45"/>
      <c r="CH217" s="45"/>
      <c r="CI217" s="45"/>
      <c r="CJ217" s="46"/>
    </row>
    <row r="218" spans="1:88" ht="16.5" customHeight="1">
      <c r="A218" s="592"/>
      <c r="B218" s="3" t="s">
        <v>23</v>
      </c>
      <c r="C218" s="39"/>
      <c r="D218" s="14"/>
      <c r="E218" s="14"/>
      <c r="F218" s="14"/>
      <c r="G218" s="14"/>
      <c r="H218" s="14">
        <v>0</v>
      </c>
      <c r="I218" s="14"/>
      <c r="J218" s="14"/>
      <c r="K218" s="18"/>
      <c r="L218" s="39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89"/>
      <c r="Y218" s="39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89"/>
      <c r="AL218" s="39"/>
      <c r="AM218" s="14"/>
      <c r="AN218" s="14"/>
      <c r="AO218" s="14"/>
      <c r="AP218" s="14"/>
      <c r="AQ218" s="14"/>
      <c r="AR218" s="14"/>
      <c r="AS218" s="14"/>
      <c r="AT218" s="14"/>
      <c r="AU218" s="18"/>
      <c r="AV218" s="36"/>
      <c r="AW218" s="14"/>
      <c r="AX218" s="22"/>
      <c r="AY218" s="22"/>
      <c r="AZ218" s="22"/>
      <c r="BA218" s="22"/>
      <c r="BB218" s="22"/>
      <c r="BC218" s="22"/>
      <c r="BD218" s="22"/>
      <c r="BE218" s="22"/>
      <c r="BF218" s="22"/>
      <c r="BG218" s="55"/>
      <c r="BH218" s="14"/>
      <c r="BI218" s="14"/>
      <c r="BJ218" s="14"/>
      <c r="BK218" s="14"/>
      <c r="BL218" s="14"/>
      <c r="BM218" s="14"/>
      <c r="BN218" s="14"/>
      <c r="BO218" s="14"/>
      <c r="BP218" s="18"/>
      <c r="BQ218" s="28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30"/>
      <c r="CC218" s="28"/>
      <c r="CD218" s="29"/>
      <c r="CE218" s="29"/>
      <c r="CF218" s="29"/>
      <c r="CG218" s="45"/>
      <c r="CH218" s="45"/>
      <c r="CI218" s="45"/>
      <c r="CJ218" s="46"/>
    </row>
    <row r="219" spans="1:88" ht="16.5" customHeight="1">
      <c r="A219" s="592"/>
      <c r="B219" s="3" t="s">
        <v>24</v>
      </c>
      <c r="C219" s="39"/>
      <c r="D219" s="14"/>
      <c r="E219" s="14"/>
      <c r="F219" s="14"/>
      <c r="G219" s="14"/>
      <c r="H219" s="14">
        <v>0</v>
      </c>
      <c r="I219" s="14"/>
      <c r="J219" s="14"/>
      <c r="K219" s="18"/>
      <c r="L219" s="39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89"/>
      <c r="Y219" s="39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89"/>
      <c r="AL219" s="39"/>
      <c r="AM219" s="14"/>
      <c r="AN219" s="14"/>
      <c r="AO219" s="14"/>
      <c r="AP219" s="14"/>
      <c r="AQ219" s="14"/>
      <c r="AR219" s="14"/>
      <c r="AS219" s="14"/>
      <c r="AT219" s="14"/>
      <c r="AU219" s="18"/>
      <c r="AV219" s="36"/>
      <c r="AW219" s="14"/>
      <c r="AX219" s="22"/>
      <c r="AY219" s="22"/>
      <c r="AZ219" s="22"/>
      <c r="BA219" s="22"/>
      <c r="BB219" s="22"/>
      <c r="BC219" s="22"/>
      <c r="BD219" s="22"/>
      <c r="BE219" s="22"/>
      <c r="BF219" s="22"/>
      <c r="BG219" s="55"/>
      <c r="BH219" s="14"/>
      <c r="BI219" s="14"/>
      <c r="BJ219" s="14"/>
      <c r="BK219" s="14"/>
      <c r="BL219" s="14"/>
      <c r="BM219" s="14"/>
      <c r="BN219" s="14"/>
      <c r="BO219" s="14"/>
      <c r="BP219" s="18"/>
      <c r="BQ219" s="28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30"/>
      <c r="CC219" s="28"/>
      <c r="CD219" s="29"/>
      <c r="CE219" s="29"/>
      <c r="CF219" s="29"/>
      <c r="CG219" s="45"/>
      <c r="CH219" s="45"/>
      <c r="CI219" s="45"/>
      <c r="CJ219" s="46"/>
    </row>
    <row r="220" spans="1:88" ht="16.5" customHeight="1">
      <c r="A220" s="592"/>
      <c r="B220" s="3" t="s">
        <v>25</v>
      </c>
      <c r="C220" s="39">
        <v>11025</v>
      </c>
      <c r="D220" s="14">
        <v>22</v>
      </c>
      <c r="E220" s="14">
        <v>1766</v>
      </c>
      <c r="F220" s="14">
        <v>1440</v>
      </c>
      <c r="G220" s="14">
        <v>326</v>
      </c>
      <c r="H220" s="14">
        <v>905</v>
      </c>
      <c r="I220" s="14">
        <v>688</v>
      </c>
      <c r="J220" s="14"/>
      <c r="K220" s="18"/>
      <c r="L220" s="39">
        <f aca="true" t="shared" si="119" ref="L220:L225">M220+N220</f>
        <v>5996</v>
      </c>
      <c r="M220" s="14">
        <v>5653</v>
      </c>
      <c r="N220" s="14">
        <v>343</v>
      </c>
      <c r="O220" s="14"/>
      <c r="P220" s="14">
        <v>31</v>
      </c>
      <c r="Q220" s="14">
        <f aca="true" t="shared" si="120" ref="Q220:Q225">L220/P220</f>
        <v>193.41935483870967</v>
      </c>
      <c r="R220" s="14">
        <v>100</v>
      </c>
      <c r="S220" s="14">
        <v>937</v>
      </c>
      <c r="T220" s="14">
        <v>48590</v>
      </c>
      <c r="U220" s="14">
        <v>98461</v>
      </c>
      <c r="V220" s="14"/>
      <c r="W220" s="14"/>
      <c r="X220" s="89">
        <v>2.3</v>
      </c>
      <c r="Y220" s="39">
        <f aca="true" t="shared" si="121" ref="Y220:Y225">Z220+AA220</f>
        <v>6116</v>
      </c>
      <c r="Z220" s="14">
        <v>5667</v>
      </c>
      <c r="AA220" s="14">
        <v>449</v>
      </c>
      <c r="AB220" s="14"/>
      <c r="AC220" s="14">
        <v>31</v>
      </c>
      <c r="AD220" s="14">
        <f aca="true" t="shared" si="122" ref="AD220:AD225">Y220/AC220</f>
        <v>197.29032258064515</v>
      </c>
      <c r="AE220" s="14">
        <v>100</v>
      </c>
      <c r="AF220" s="14">
        <v>913</v>
      </c>
      <c r="AG220" s="14">
        <v>68258</v>
      </c>
      <c r="AH220" s="14">
        <v>100664</v>
      </c>
      <c r="AI220" s="14"/>
      <c r="AJ220" s="14"/>
      <c r="AK220" s="89">
        <v>2.3</v>
      </c>
      <c r="AL220" s="39">
        <v>17261</v>
      </c>
      <c r="AM220" s="14"/>
      <c r="AN220" s="14"/>
      <c r="AO220" s="14">
        <v>9750</v>
      </c>
      <c r="AP220" s="14">
        <v>789</v>
      </c>
      <c r="AQ220" s="14">
        <v>789</v>
      </c>
      <c r="AR220" s="14"/>
      <c r="AS220" s="14"/>
      <c r="AT220" s="14"/>
      <c r="AU220" s="18">
        <v>7511</v>
      </c>
      <c r="AV220" s="36">
        <v>0.5</v>
      </c>
      <c r="AW220" s="14">
        <v>1031</v>
      </c>
      <c r="AX220" s="22">
        <v>66.6</v>
      </c>
      <c r="AY220" s="22">
        <v>26.1</v>
      </c>
      <c r="AZ220" s="22">
        <v>7.3</v>
      </c>
      <c r="BA220" s="22">
        <v>19.3</v>
      </c>
      <c r="BB220" s="22">
        <v>3.1</v>
      </c>
      <c r="BC220" s="22">
        <v>18.1</v>
      </c>
      <c r="BD220" s="22">
        <v>43.2</v>
      </c>
      <c r="BE220" s="22">
        <v>11</v>
      </c>
      <c r="BF220" s="22">
        <v>5.4</v>
      </c>
      <c r="BG220" s="55"/>
      <c r="BH220" s="14">
        <v>43589</v>
      </c>
      <c r="BI220" s="14">
        <v>41393</v>
      </c>
      <c r="BJ220" s="14"/>
      <c r="BK220" s="14">
        <v>190</v>
      </c>
      <c r="BL220" s="14">
        <v>191</v>
      </c>
      <c r="BM220" s="14"/>
      <c r="BN220" s="14">
        <f aca="true" t="shared" si="123" ref="BN220:BN225">BP220</f>
        <v>4435</v>
      </c>
      <c r="BO220" s="14"/>
      <c r="BP220" s="18">
        <v>4435</v>
      </c>
      <c r="BQ220" s="28">
        <v>2</v>
      </c>
      <c r="BR220" s="29">
        <v>1.9</v>
      </c>
      <c r="BS220" s="29"/>
      <c r="BT220" s="29">
        <v>40.7</v>
      </c>
      <c r="BU220" s="29">
        <v>40.7</v>
      </c>
      <c r="BV220" s="29"/>
      <c r="BW220" s="29">
        <v>2.8</v>
      </c>
      <c r="BX220" s="29">
        <v>2.8</v>
      </c>
      <c r="BY220" s="29"/>
      <c r="BZ220" s="29">
        <v>13</v>
      </c>
      <c r="CA220" s="29">
        <v>17.2</v>
      </c>
      <c r="CB220" s="30"/>
      <c r="CC220" s="28">
        <v>7.9</v>
      </c>
      <c r="CD220" s="29">
        <v>5</v>
      </c>
      <c r="CE220" s="29">
        <v>7.5</v>
      </c>
      <c r="CF220" s="29">
        <v>11</v>
      </c>
      <c r="CG220" s="45">
        <v>0.01</v>
      </c>
      <c r="CH220" s="45">
        <v>0.034</v>
      </c>
      <c r="CI220" s="60" t="s">
        <v>36</v>
      </c>
      <c r="CJ220" s="46">
        <v>0.008</v>
      </c>
    </row>
    <row r="221" spans="1:88" ht="16.5" customHeight="1">
      <c r="A221" s="592"/>
      <c r="B221" s="3" t="s">
        <v>26</v>
      </c>
      <c r="C221" s="39">
        <v>8652</v>
      </c>
      <c r="D221" s="14">
        <v>20</v>
      </c>
      <c r="E221" s="14">
        <v>1207</v>
      </c>
      <c r="F221" s="14">
        <v>987</v>
      </c>
      <c r="G221" s="14">
        <v>220</v>
      </c>
      <c r="H221" s="14">
        <v>310</v>
      </c>
      <c r="I221" s="14">
        <v>310</v>
      </c>
      <c r="J221" s="14"/>
      <c r="K221" s="18"/>
      <c r="L221" s="39">
        <f t="shared" si="119"/>
        <v>4230</v>
      </c>
      <c r="M221" s="14">
        <v>4143</v>
      </c>
      <c r="N221" s="14">
        <v>87</v>
      </c>
      <c r="O221" s="14"/>
      <c r="P221" s="14">
        <v>23</v>
      </c>
      <c r="Q221" s="14">
        <f t="shared" si="120"/>
        <v>183.91304347826087</v>
      </c>
      <c r="R221" s="14">
        <v>74</v>
      </c>
      <c r="S221" s="14">
        <v>904</v>
      </c>
      <c r="T221" s="14">
        <v>29798</v>
      </c>
      <c r="U221" s="14">
        <v>62490</v>
      </c>
      <c r="V221" s="14"/>
      <c r="W221" s="14"/>
      <c r="X221" s="89">
        <v>3.5</v>
      </c>
      <c r="Y221" s="39">
        <f t="shared" si="121"/>
        <v>4241</v>
      </c>
      <c r="Z221" s="14">
        <v>4152</v>
      </c>
      <c r="AA221" s="14">
        <v>89</v>
      </c>
      <c r="AB221" s="14"/>
      <c r="AC221" s="14">
        <v>23</v>
      </c>
      <c r="AD221" s="14">
        <f t="shared" si="122"/>
        <v>184.3913043478261</v>
      </c>
      <c r="AE221" s="14">
        <v>74</v>
      </c>
      <c r="AF221" s="14">
        <v>915</v>
      </c>
      <c r="AG221" s="14">
        <v>24310</v>
      </c>
      <c r="AH221" s="14">
        <v>63383</v>
      </c>
      <c r="AI221" s="14"/>
      <c r="AJ221" s="14"/>
      <c r="AK221" s="89">
        <v>3.5</v>
      </c>
      <c r="AL221" s="39">
        <v>12758</v>
      </c>
      <c r="AM221" s="14"/>
      <c r="AN221" s="14"/>
      <c r="AO221" s="14">
        <v>7024</v>
      </c>
      <c r="AP221" s="14">
        <v>545</v>
      </c>
      <c r="AQ221" s="14">
        <v>545</v>
      </c>
      <c r="AR221" s="14"/>
      <c r="AS221" s="14"/>
      <c r="AT221" s="14"/>
      <c r="AU221" s="18">
        <v>5734</v>
      </c>
      <c r="AV221" s="36">
        <v>0.5</v>
      </c>
      <c r="AW221" s="14">
        <v>1008</v>
      </c>
      <c r="AX221" s="22">
        <v>65.5</v>
      </c>
      <c r="AY221" s="22">
        <v>25.2</v>
      </c>
      <c r="AZ221" s="22">
        <v>9.4</v>
      </c>
      <c r="BA221" s="22">
        <v>25.6</v>
      </c>
      <c r="BB221" s="22">
        <v>1.9</v>
      </c>
      <c r="BC221" s="22">
        <v>15</v>
      </c>
      <c r="BD221" s="22">
        <v>45.6</v>
      </c>
      <c r="BE221" s="22">
        <v>5.3</v>
      </c>
      <c r="BF221" s="22">
        <v>6.6</v>
      </c>
      <c r="BG221" s="55"/>
      <c r="BH221" s="14">
        <v>47617</v>
      </c>
      <c r="BI221" s="14">
        <v>41536</v>
      </c>
      <c r="BJ221" s="14"/>
      <c r="BK221" s="14">
        <v>189</v>
      </c>
      <c r="BL221" s="14">
        <v>191</v>
      </c>
      <c r="BM221" s="14"/>
      <c r="BN221" s="14">
        <f t="shared" si="123"/>
        <v>3703</v>
      </c>
      <c r="BO221" s="14"/>
      <c r="BP221" s="18">
        <v>3703</v>
      </c>
      <c r="BQ221" s="28">
        <v>4.2</v>
      </c>
      <c r="BR221" s="29">
        <v>5.5</v>
      </c>
      <c r="BS221" s="29"/>
      <c r="BT221" s="29">
        <v>36.5</v>
      </c>
      <c r="BU221" s="29">
        <v>44.3</v>
      </c>
      <c r="BV221" s="29"/>
      <c r="BW221" s="29">
        <v>1.6</v>
      </c>
      <c r="BX221" s="29">
        <v>0</v>
      </c>
      <c r="BY221" s="29"/>
      <c r="BZ221" s="29">
        <v>14.3</v>
      </c>
      <c r="CA221" s="29">
        <v>10.4</v>
      </c>
      <c r="CB221" s="30"/>
      <c r="CC221" s="28">
        <v>7.9</v>
      </c>
      <c r="CD221" s="29">
        <v>4</v>
      </c>
      <c r="CE221" s="29">
        <v>6</v>
      </c>
      <c r="CF221" s="29">
        <v>16</v>
      </c>
      <c r="CG221" s="45">
        <v>0.014</v>
      </c>
      <c r="CH221" s="60" t="s">
        <v>36</v>
      </c>
      <c r="CI221" s="60" t="s">
        <v>36</v>
      </c>
      <c r="CJ221" s="46">
        <v>0.031</v>
      </c>
    </row>
    <row r="222" spans="1:88" ht="16.5" customHeight="1">
      <c r="A222" s="592"/>
      <c r="B222" s="3" t="s">
        <v>27</v>
      </c>
      <c r="C222" s="39">
        <v>12310</v>
      </c>
      <c r="D222" s="14">
        <v>24</v>
      </c>
      <c r="E222" s="14">
        <v>1805</v>
      </c>
      <c r="F222" s="14">
        <v>1518</v>
      </c>
      <c r="G222" s="14">
        <v>287</v>
      </c>
      <c r="H222" s="14">
        <v>1050</v>
      </c>
      <c r="I222" s="14">
        <v>570</v>
      </c>
      <c r="J222" s="14">
        <v>480</v>
      </c>
      <c r="K222" s="18"/>
      <c r="L222" s="39">
        <f t="shared" si="119"/>
        <v>5895</v>
      </c>
      <c r="M222" s="14">
        <v>5590</v>
      </c>
      <c r="N222" s="14">
        <v>305</v>
      </c>
      <c r="O222" s="14"/>
      <c r="P222" s="14">
        <v>30</v>
      </c>
      <c r="Q222" s="14">
        <f t="shared" si="120"/>
        <v>196.5</v>
      </c>
      <c r="R222" s="14">
        <v>100</v>
      </c>
      <c r="S222" s="14">
        <v>902</v>
      </c>
      <c r="T222" s="14">
        <v>37602</v>
      </c>
      <c r="U222" s="14">
        <v>69582</v>
      </c>
      <c r="V222" s="14"/>
      <c r="W222" s="14"/>
      <c r="X222" s="89">
        <v>2.5</v>
      </c>
      <c r="Y222" s="39">
        <f t="shared" si="121"/>
        <v>5860</v>
      </c>
      <c r="Z222" s="14">
        <v>5598</v>
      </c>
      <c r="AA222" s="14">
        <v>262</v>
      </c>
      <c r="AB222" s="14"/>
      <c r="AC222" s="14">
        <v>30</v>
      </c>
      <c r="AD222" s="14">
        <f t="shared" si="122"/>
        <v>195.33333333333334</v>
      </c>
      <c r="AE222" s="14">
        <v>100</v>
      </c>
      <c r="AF222" s="14">
        <v>890</v>
      </c>
      <c r="AG222" s="14">
        <v>27138</v>
      </c>
      <c r="AH222" s="14">
        <v>71473</v>
      </c>
      <c r="AI222" s="14"/>
      <c r="AJ222" s="14"/>
      <c r="AK222" s="89">
        <v>2.2</v>
      </c>
      <c r="AL222" s="39">
        <v>17974</v>
      </c>
      <c r="AM222" s="14"/>
      <c r="AN222" s="14"/>
      <c r="AO222" s="14">
        <v>9219</v>
      </c>
      <c r="AP222" s="14">
        <v>712</v>
      </c>
      <c r="AQ222" s="14">
        <v>712</v>
      </c>
      <c r="AR222" s="14"/>
      <c r="AS222" s="14"/>
      <c r="AT222" s="14"/>
      <c r="AU222" s="18">
        <v>8755</v>
      </c>
      <c r="AV222" s="36">
        <v>0.4</v>
      </c>
      <c r="AW222" s="14">
        <v>1144</v>
      </c>
      <c r="AX222" s="22">
        <v>61</v>
      </c>
      <c r="AY222" s="22">
        <v>29.2</v>
      </c>
      <c r="AZ222" s="22">
        <v>9.9</v>
      </c>
      <c r="BA222" s="22">
        <v>19.6</v>
      </c>
      <c r="BB222" s="22">
        <v>3.4</v>
      </c>
      <c r="BC222" s="22">
        <v>17.7</v>
      </c>
      <c r="BD222" s="22">
        <v>44.2</v>
      </c>
      <c r="BE222" s="22">
        <v>8.7</v>
      </c>
      <c r="BF222" s="22">
        <v>6.5</v>
      </c>
      <c r="BG222" s="55"/>
      <c r="BH222" s="14">
        <v>40627</v>
      </c>
      <c r="BI222" s="14">
        <v>44475</v>
      </c>
      <c r="BJ222" s="14"/>
      <c r="BK222" s="14">
        <v>190</v>
      </c>
      <c r="BL222" s="14">
        <v>192</v>
      </c>
      <c r="BM222" s="14"/>
      <c r="BN222" s="14">
        <f t="shared" si="123"/>
        <v>2936</v>
      </c>
      <c r="BO222" s="14"/>
      <c r="BP222" s="18">
        <v>2936</v>
      </c>
      <c r="BQ222" s="28">
        <v>2.3</v>
      </c>
      <c r="BR222" s="29">
        <v>1.6</v>
      </c>
      <c r="BS222" s="29"/>
      <c r="BT222" s="29">
        <v>39.4</v>
      </c>
      <c r="BU222" s="29">
        <v>38.3</v>
      </c>
      <c r="BV222" s="29"/>
      <c r="BW222" s="29">
        <v>1.1</v>
      </c>
      <c r="BX222" s="29">
        <v>0</v>
      </c>
      <c r="BY222" s="29"/>
      <c r="BZ222" s="29">
        <v>8.1</v>
      </c>
      <c r="CA222" s="29">
        <v>10.6</v>
      </c>
      <c r="CB222" s="30"/>
      <c r="CC222" s="28">
        <v>8</v>
      </c>
      <c r="CD222" s="29">
        <v>8.8</v>
      </c>
      <c r="CE222" s="29">
        <v>12</v>
      </c>
      <c r="CF222" s="29">
        <v>12</v>
      </c>
      <c r="CG222" s="45">
        <v>0.103</v>
      </c>
      <c r="CH222" s="45">
        <v>0.01</v>
      </c>
      <c r="CI222" s="60" t="s">
        <v>36</v>
      </c>
      <c r="CJ222" s="59" t="s">
        <v>36</v>
      </c>
    </row>
    <row r="223" spans="1:88" ht="16.5" customHeight="1">
      <c r="A223" s="592"/>
      <c r="B223" s="3" t="s">
        <v>28</v>
      </c>
      <c r="C223" s="39">
        <v>11810</v>
      </c>
      <c r="D223" s="14">
        <v>23</v>
      </c>
      <c r="E223" s="14">
        <v>1902</v>
      </c>
      <c r="F223" s="14">
        <v>1602</v>
      </c>
      <c r="G223" s="14">
        <v>300</v>
      </c>
      <c r="H223" s="14">
        <v>1005</v>
      </c>
      <c r="I223" s="14">
        <v>445</v>
      </c>
      <c r="J223" s="14">
        <v>600</v>
      </c>
      <c r="K223" s="18"/>
      <c r="L223" s="39">
        <f t="shared" si="119"/>
        <v>6206</v>
      </c>
      <c r="M223" s="14">
        <v>5919</v>
      </c>
      <c r="N223" s="14">
        <v>287</v>
      </c>
      <c r="O223" s="14"/>
      <c r="P223" s="14">
        <v>31</v>
      </c>
      <c r="Q223" s="14">
        <f t="shared" si="120"/>
        <v>200.19354838709677</v>
      </c>
      <c r="R223" s="14">
        <v>100</v>
      </c>
      <c r="S223" s="14">
        <v>896</v>
      </c>
      <c r="T223" s="14">
        <v>48571</v>
      </c>
      <c r="U223" s="14">
        <v>66253</v>
      </c>
      <c r="V223" s="14"/>
      <c r="W223" s="14"/>
      <c r="X223" s="89">
        <v>2.3</v>
      </c>
      <c r="Y223" s="39">
        <f t="shared" si="121"/>
        <v>6222</v>
      </c>
      <c r="Z223" s="14">
        <v>5927</v>
      </c>
      <c r="AA223" s="14">
        <v>295</v>
      </c>
      <c r="AB223" s="14"/>
      <c r="AC223" s="14">
        <v>31</v>
      </c>
      <c r="AD223" s="14">
        <f t="shared" si="122"/>
        <v>200.70967741935485</v>
      </c>
      <c r="AE223" s="14">
        <v>100</v>
      </c>
      <c r="AF223" s="14">
        <v>887</v>
      </c>
      <c r="AG223" s="14">
        <v>34480</v>
      </c>
      <c r="AH223" s="14">
        <v>66710</v>
      </c>
      <c r="AI223" s="14"/>
      <c r="AJ223" s="14"/>
      <c r="AK223" s="89">
        <v>2.1</v>
      </c>
      <c r="AL223" s="39">
        <v>18108</v>
      </c>
      <c r="AM223" s="14"/>
      <c r="AN223" s="14"/>
      <c r="AO223" s="14">
        <v>9560</v>
      </c>
      <c r="AP223" s="14">
        <v>764</v>
      </c>
      <c r="AQ223" s="14">
        <v>764</v>
      </c>
      <c r="AR223" s="14"/>
      <c r="AS223" s="14"/>
      <c r="AT223" s="14"/>
      <c r="AU223" s="18">
        <v>8548</v>
      </c>
      <c r="AV223" s="36">
        <v>0.4</v>
      </c>
      <c r="AW223" s="14">
        <v>1126</v>
      </c>
      <c r="AX223" s="22">
        <v>60.4</v>
      </c>
      <c r="AY223" s="22">
        <v>30.3</v>
      </c>
      <c r="AZ223" s="22">
        <v>9.3</v>
      </c>
      <c r="BA223" s="22">
        <v>20</v>
      </c>
      <c r="BB223" s="22">
        <v>2.8</v>
      </c>
      <c r="BC223" s="22">
        <v>15.9</v>
      </c>
      <c r="BD223" s="22">
        <v>51.2</v>
      </c>
      <c r="BE223" s="22">
        <v>5.5</v>
      </c>
      <c r="BF223" s="22">
        <v>4.6</v>
      </c>
      <c r="BG223" s="55"/>
      <c r="BH223" s="14">
        <v>41280</v>
      </c>
      <c r="BI223" s="14">
        <v>45438</v>
      </c>
      <c r="BJ223" s="14"/>
      <c r="BK223" s="14">
        <v>188</v>
      </c>
      <c r="BL223" s="14">
        <v>189</v>
      </c>
      <c r="BM223" s="14"/>
      <c r="BN223" s="14">
        <f t="shared" si="123"/>
        <v>3219</v>
      </c>
      <c r="BO223" s="14"/>
      <c r="BP223" s="18">
        <v>3219</v>
      </c>
      <c r="BQ223" s="28">
        <v>1.2</v>
      </c>
      <c r="BR223" s="29">
        <v>0.8</v>
      </c>
      <c r="BS223" s="29"/>
      <c r="BT223" s="29">
        <v>22.5</v>
      </c>
      <c r="BU223" s="29">
        <v>26.8</v>
      </c>
      <c r="BV223" s="29"/>
      <c r="BW223" s="29">
        <v>1</v>
      </c>
      <c r="BX223" s="29">
        <v>0.8</v>
      </c>
      <c r="BY223" s="29"/>
      <c r="BZ223" s="29">
        <v>8.1</v>
      </c>
      <c r="CA223" s="29">
        <v>8.4</v>
      </c>
      <c r="CB223" s="30"/>
      <c r="CC223" s="28">
        <v>7.9</v>
      </c>
      <c r="CD223" s="29">
        <v>10.5</v>
      </c>
      <c r="CE223" s="29">
        <v>7.3</v>
      </c>
      <c r="CF223" s="29">
        <v>11.7</v>
      </c>
      <c r="CG223" s="45">
        <v>0.02</v>
      </c>
      <c r="CH223" s="60" t="s">
        <v>36</v>
      </c>
      <c r="CI223" s="60" t="s">
        <v>36</v>
      </c>
      <c r="CJ223" s="59" t="s">
        <v>36</v>
      </c>
    </row>
    <row r="224" spans="1:88" ht="16.5" customHeight="1">
      <c r="A224" s="592"/>
      <c r="B224" s="3" t="s">
        <v>29</v>
      </c>
      <c r="C224" s="39">
        <v>9464</v>
      </c>
      <c r="D224" s="14">
        <v>22</v>
      </c>
      <c r="E224" s="14">
        <v>1469</v>
      </c>
      <c r="F224" s="14">
        <v>1316</v>
      </c>
      <c r="G224" s="14">
        <v>153</v>
      </c>
      <c r="H224" s="14">
        <v>820</v>
      </c>
      <c r="I224" s="14">
        <v>275</v>
      </c>
      <c r="J224" s="14">
        <v>720</v>
      </c>
      <c r="K224" s="18"/>
      <c r="L224" s="39">
        <f t="shared" si="119"/>
        <v>4631</v>
      </c>
      <c r="M224" s="14">
        <v>4498</v>
      </c>
      <c r="N224" s="14">
        <v>133</v>
      </c>
      <c r="O224" s="14"/>
      <c r="P224" s="14">
        <v>25</v>
      </c>
      <c r="Q224" s="14">
        <f t="shared" si="120"/>
        <v>185.24</v>
      </c>
      <c r="R224" s="14">
        <v>83</v>
      </c>
      <c r="S224" s="14">
        <v>876</v>
      </c>
      <c r="T224" s="14">
        <v>53109</v>
      </c>
      <c r="U224" s="14">
        <v>52022</v>
      </c>
      <c r="V224" s="14"/>
      <c r="W224" s="14"/>
      <c r="X224" s="89">
        <v>2.9</v>
      </c>
      <c r="Y224" s="39">
        <f t="shared" si="121"/>
        <v>4667</v>
      </c>
      <c r="Z224" s="14">
        <v>4528</v>
      </c>
      <c r="AA224" s="14">
        <v>139</v>
      </c>
      <c r="AB224" s="14"/>
      <c r="AC224" s="14">
        <v>25</v>
      </c>
      <c r="AD224" s="14">
        <f t="shared" si="122"/>
        <v>186.68</v>
      </c>
      <c r="AE224" s="14">
        <v>83</v>
      </c>
      <c r="AF224" s="14">
        <v>861</v>
      </c>
      <c r="AG224" s="14">
        <v>47080</v>
      </c>
      <c r="AH224" s="14">
        <v>51991</v>
      </c>
      <c r="AI224" s="14"/>
      <c r="AJ224" s="14"/>
      <c r="AK224" s="89">
        <v>3.2</v>
      </c>
      <c r="AL224" s="39">
        <v>11047</v>
      </c>
      <c r="AM224" s="14"/>
      <c r="AN224" s="14"/>
      <c r="AO224" s="14">
        <v>7824</v>
      </c>
      <c r="AP224" s="14">
        <v>582</v>
      </c>
      <c r="AQ224" s="14">
        <v>582</v>
      </c>
      <c r="AR224" s="14"/>
      <c r="AS224" s="14"/>
      <c r="AT224" s="14"/>
      <c r="AU224" s="18">
        <v>3223</v>
      </c>
      <c r="AV224" s="36">
        <v>0.3</v>
      </c>
      <c r="AW224" s="14">
        <v>1319</v>
      </c>
      <c r="AX224" s="22">
        <v>54.3</v>
      </c>
      <c r="AY224" s="22">
        <v>33.8</v>
      </c>
      <c r="AZ224" s="22">
        <v>12</v>
      </c>
      <c r="BA224" s="22">
        <v>16.8</v>
      </c>
      <c r="BB224" s="22">
        <v>2.1</v>
      </c>
      <c r="BC224" s="22">
        <v>17</v>
      </c>
      <c r="BD224" s="22">
        <v>53.6</v>
      </c>
      <c r="BE224" s="22">
        <v>6.4</v>
      </c>
      <c r="BF224" s="22">
        <v>4.2</v>
      </c>
      <c r="BG224" s="55"/>
      <c r="BH224" s="14">
        <v>44045.666666666664</v>
      </c>
      <c r="BI224" s="14">
        <v>41971.333333333336</v>
      </c>
      <c r="BJ224" s="14"/>
      <c r="BK224" s="14">
        <v>189</v>
      </c>
      <c r="BL224" s="14">
        <v>188</v>
      </c>
      <c r="BM224" s="14"/>
      <c r="BN224" s="14">
        <f t="shared" si="123"/>
        <v>2515</v>
      </c>
      <c r="BO224" s="14"/>
      <c r="BP224" s="18">
        <v>2515</v>
      </c>
      <c r="BQ224" s="28">
        <v>1.5</v>
      </c>
      <c r="BR224" s="29">
        <v>1.3</v>
      </c>
      <c r="BS224" s="29"/>
      <c r="BT224" s="29">
        <v>8.7</v>
      </c>
      <c r="BU224" s="29">
        <v>11.6</v>
      </c>
      <c r="BV224" s="29"/>
      <c r="BW224" s="29">
        <v>0.2</v>
      </c>
      <c r="BX224" s="29">
        <v>0.3</v>
      </c>
      <c r="BY224" s="29"/>
      <c r="BZ224" s="29">
        <v>8.7</v>
      </c>
      <c r="CA224" s="29">
        <v>7.2</v>
      </c>
      <c r="CB224" s="30"/>
      <c r="CC224" s="28">
        <v>7.8</v>
      </c>
      <c r="CD224" s="29">
        <v>3</v>
      </c>
      <c r="CE224" s="29">
        <v>7</v>
      </c>
      <c r="CF224" s="29">
        <v>17</v>
      </c>
      <c r="CG224" s="45"/>
      <c r="CH224" s="45"/>
      <c r="CI224" s="45"/>
      <c r="CJ224" s="46"/>
    </row>
    <row r="225" spans="1:88" ht="16.5" customHeight="1" thickBot="1">
      <c r="A225" s="593"/>
      <c r="B225" s="4" t="s">
        <v>30</v>
      </c>
      <c r="C225" s="40">
        <v>11339</v>
      </c>
      <c r="D225" s="15">
        <v>27</v>
      </c>
      <c r="E225" s="15">
        <v>1819</v>
      </c>
      <c r="F225" s="15">
        <v>1601</v>
      </c>
      <c r="G225" s="15">
        <v>218</v>
      </c>
      <c r="H225" s="15">
        <v>450</v>
      </c>
      <c r="I225" s="15">
        <v>112</v>
      </c>
      <c r="J225" s="15">
        <v>340</v>
      </c>
      <c r="K225" s="19"/>
      <c r="L225" s="40">
        <f t="shared" si="119"/>
        <v>5807</v>
      </c>
      <c r="M225" s="15">
        <v>5742</v>
      </c>
      <c r="N225" s="15">
        <v>65</v>
      </c>
      <c r="O225" s="15"/>
      <c r="P225" s="15">
        <v>31</v>
      </c>
      <c r="Q225" s="15">
        <f t="shared" si="120"/>
        <v>187.32258064516128</v>
      </c>
      <c r="R225" s="15">
        <v>100</v>
      </c>
      <c r="S225" s="15">
        <v>880</v>
      </c>
      <c r="T225" s="15">
        <v>46382</v>
      </c>
      <c r="U225" s="15">
        <v>63733</v>
      </c>
      <c r="V225" s="15"/>
      <c r="W225" s="15"/>
      <c r="X225" s="302">
        <v>3.8</v>
      </c>
      <c r="Y225" s="40">
        <f t="shared" si="121"/>
        <v>5757</v>
      </c>
      <c r="Z225" s="15">
        <v>5707</v>
      </c>
      <c r="AA225" s="15">
        <v>50</v>
      </c>
      <c r="AB225" s="15"/>
      <c r="AC225" s="15">
        <v>31</v>
      </c>
      <c r="AD225" s="15">
        <f t="shared" si="122"/>
        <v>185.70967741935485</v>
      </c>
      <c r="AE225" s="15">
        <v>100</v>
      </c>
      <c r="AF225" s="15">
        <v>883</v>
      </c>
      <c r="AG225" s="15">
        <v>45719</v>
      </c>
      <c r="AH225" s="15">
        <v>61380</v>
      </c>
      <c r="AI225" s="15"/>
      <c r="AJ225" s="15"/>
      <c r="AK225" s="302">
        <v>3.7</v>
      </c>
      <c r="AL225" s="40">
        <v>15129</v>
      </c>
      <c r="AM225" s="15"/>
      <c r="AN225" s="15"/>
      <c r="AO225" s="15">
        <v>8161</v>
      </c>
      <c r="AP225" s="15">
        <v>742</v>
      </c>
      <c r="AQ225" s="15">
        <v>742</v>
      </c>
      <c r="AR225" s="15"/>
      <c r="AS225" s="15"/>
      <c r="AT225" s="15"/>
      <c r="AU225" s="19">
        <v>6968</v>
      </c>
      <c r="AV225" s="65">
        <v>0.3</v>
      </c>
      <c r="AW225" s="15">
        <v>1248</v>
      </c>
      <c r="AX225" s="43">
        <v>56.6</v>
      </c>
      <c r="AY225" s="43">
        <v>31.7</v>
      </c>
      <c r="AZ225" s="43">
        <v>11.7</v>
      </c>
      <c r="BA225" s="43">
        <v>23.2</v>
      </c>
      <c r="BB225" s="43">
        <v>4.4</v>
      </c>
      <c r="BC225" s="43">
        <v>16.9</v>
      </c>
      <c r="BD225" s="43">
        <v>47.4</v>
      </c>
      <c r="BE225" s="43">
        <v>2.4</v>
      </c>
      <c r="BF225" s="43">
        <v>5.8</v>
      </c>
      <c r="BG225" s="71"/>
      <c r="BH225" s="15">
        <v>45609</v>
      </c>
      <c r="BI225" s="15">
        <v>44190</v>
      </c>
      <c r="BJ225" s="15"/>
      <c r="BK225" s="15">
        <v>189</v>
      </c>
      <c r="BL225" s="15">
        <v>189</v>
      </c>
      <c r="BM225" s="15"/>
      <c r="BN225" s="15">
        <f t="shared" si="123"/>
        <v>2768</v>
      </c>
      <c r="BO225" s="15"/>
      <c r="BP225" s="19">
        <v>2768</v>
      </c>
      <c r="BQ225" s="42">
        <v>1.1</v>
      </c>
      <c r="BR225" s="31">
        <v>1.4</v>
      </c>
      <c r="BS225" s="31"/>
      <c r="BT225" s="31">
        <v>13.9</v>
      </c>
      <c r="BU225" s="31">
        <v>13.2</v>
      </c>
      <c r="BV225" s="31"/>
      <c r="BW225" s="31">
        <v>0</v>
      </c>
      <c r="BX225" s="31">
        <v>0</v>
      </c>
      <c r="BY225" s="31"/>
      <c r="BZ225" s="31">
        <v>5.3</v>
      </c>
      <c r="CA225" s="31">
        <v>5.3</v>
      </c>
      <c r="CB225" s="73"/>
      <c r="CC225" s="42">
        <v>7.5</v>
      </c>
      <c r="CD225" s="31"/>
      <c r="CE225" s="31">
        <v>7</v>
      </c>
      <c r="CF225" s="31">
        <v>10</v>
      </c>
      <c r="CG225" s="294"/>
      <c r="CH225" s="294"/>
      <c r="CI225" s="294"/>
      <c r="CJ225" s="295"/>
    </row>
    <row r="226" spans="8:10" ht="13.5">
      <c r="H226" s="32" t="s">
        <v>45</v>
      </c>
      <c r="I226" s="32" t="s">
        <v>45</v>
      </c>
      <c r="J226" s="429"/>
    </row>
    <row r="227" spans="8:9" ht="13.5">
      <c r="H227" s="100"/>
      <c r="I227" s="429" t="s">
        <v>45</v>
      </c>
    </row>
    <row r="228" ht="13.5">
      <c r="H228" s="100"/>
    </row>
    <row r="229" ht="13.5">
      <c r="H229" s="100"/>
    </row>
    <row r="230" ht="13.5">
      <c r="H230" s="100"/>
    </row>
    <row r="231" ht="13.5">
      <c r="H231" s="100"/>
    </row>
    <row r="232" ht="13.5">
      <c r="H232" s="100"/>
    </row>
    <row r="233" ht="13.5">
      <c r="H233" s="100"/>
    </row>
    <row r="234" ht="13.5">
      <c r="H234" s="100"/>
    </row>
    <row r="235" ht="13.5">
      <c r="H235" s="100"/>
    </row>
    <row r="236" ht="13.5">
      <c r="H236" s="100"/>
    </row>
    <row r="237" ht="13.5">
      <c r="H237" s="100"/>
    </row>
    <row r="238" ht="13.5">
      <c r="H238" s="100"/>
    </row>
    <row r="239" ht="13.5">
      <c r="H239" s="100"/>
    </row>
    <row r="240" ht="13.5">
      <c r="H240" s="100"/>
    </row>
    <row r="241" ht="13.5">
      <c r="H241" s="100"/>
    </row>
    <row r="242" ht="13.5">
      <c r="H242" s="100"/>
    </row>
    <row r="243" ht="13.5">
      <c r="H243" s="100"/>
    </row>
    <row r="244" ht="13.5">
      <c r="H244" s="100"/>
    </row>
  </sheetData>
  <mergeCells count="91">
    <mergeCell ref="H1:K1"/>
    <mergeCell ref="E1:G1"/>
    <mergeCell ref="I2:I4"/>
    <mergeCell ref="J2:J4"/>
    <mergeCell ref="K2:K4"/>
    <mergeCell ref="E2:E4"/>
    <mergeCell ref="F2:F4"/>
    <mergeCell ref="G2:G4"/>
    <mergeCell ref="H2:H4"/>
    <mergeCell ref="A1:A4"/>
    <mergeCell ref="B1:B4"/>
    <mergeCell ref="C1:C4"/>
    <mergeCell ref="D1:D4"/>
    <mergeCell ref="L2:O2"/>
    <mergeCell ref="L3:L4"/>
    <mergeCell ref="M3:M4"/>
    <mergeCell ref="N3:N4"/>
    <mergeCell ref="O3:O4"/>
    <mergeCell ref="P2:P4"/>
    <mergeCell ref="Q2:Q4"/>
    <mergeCell ref="R2:R4"/>
    <mergeCell ref="S2:S4"/>
    <mergeCell ref="T2:W2"/>
    <mergeCell ref="T3:T4"/>
    <mergeCell ref="U3:U4"/>
    <mergeCell ref="V3:V4"/>
    <mergeCell ref="W3:W4"/>
    <mergeCell ref="X2:X4"/>
    <mergeCell ref="Y1:AK1"/>
    <mergeCell ref="Y2:AB2"/>
    <mergeCell ref="AC2:AC4"/>
    <mergeCell ref="AD2:AD4"/>
    <mergeCell ref="AE2:AE4"/>
    <mergeCell ref="AF2:AF4"/>
    <mergeCell ref="AG2:AJ2"/>
    <mergeCell ref="L1:X1"/>
    <mergeCell ref="AK2:AK4"/>
    <mergeCell ref="Y3:Y4"/>
    <mergeCell ref="Z3:Z4"/>
    <mergeCell ref="AA3:AA4"/>
    <mergeCell ref="AB3:AB4"/>
    <mergeCell ref="AG3:AG4"/>
    <mergeCell ref="AH3:AH4"/>
    <mergeCell ref="AI3:AI4"/>
    <mergeCell ref="AJ3:AJ4"/>
    <mergeCell ref="AL1:AU1"/>
    <mergeCell ref="AL2:AL4"/>
    <mergeCell ref="AM2:AU2"/>
    <mergeCell ref="AM3:AN3"/>
    <mergeCell ref="AO3:AS3"/>
    <mergeCell ref="AT3:AT4"/>
    <mergeCell ref="AU3:AU4"/>
    <mergeCell ref="AV1:BG1"/>
    <mergeCell ref="AX2:AZ2"/>
    <mergeCell ref="BA2:BG2"/>
    <mergeCell ref="BE3:BE4"/>
    <mergeCell ref="BF3:BF4"/>
    <mergeCell ref="BG3:BG4"/>
    <mergeCell ref="AV2:AV4"/>
    <mergeCell ref="AW2:AW4"/>
    <mergeCell ref="AX3:AX4"/>
    <mergeCell ref="BC3:BC4"/>
    <mergeCell ref="BP3:BP4"/>
    <mergeCell ref="AY3:AY4"/>
    <mergeCell ref="AZ3:AZ4"/>
    <mergeCell ref="BA3:BA4"/>
    <mergeCell ref="BB3:BB4"/>
    <mergeCell ref="BD3:BD4"/>
    <mergeCell ref="BH3:BJ3"/>
    <mergeCell ref="BK3:BM3"/>
    <mergeCell ref="BN3:BN4"/>
    <mergeCell ref="BO3:BO4"/>
    <mergeCell ref="BQ3:BS3"/>
    <mergeCell ref="BT3:BV3"/>
    <mergeCell ref="BW3:BY3"/>
    <mergeCell ref="BZ3:CB3"/>
    <mergeCell ref="BH1:BP1"/>
    <mergeCell ref="BH2:BM2"/>
    <mergeCell ref="BN2:BP2"/>
    <mergeCell ref="CC1:CJ1"/>
    <mergeCell ref="CC2:CJ2"/>
    <mergeCell ref="BQ1:CB1"/>
    <mergeCell ref="BQ2:CB2"/>
    <mergeCell ref="CC3:CC4"/>
    <mergeCell ref="CD3:CD4"/>
    <mergeCell ref="CE3:CE4"/>
    <mergeCell ref="CF3:CF4"/>
    <mergeCell ref="CG3:CG4"/>
    <mergeCell ref="CH3:CH4"/>
    <mergeCell ref="CI3:CI4"/>
    <mergeCell ref="CJ3:CJ4"/>
  </mergeCells>
  <printOptions horizontalCentered="1"/>
  <pageMargins left="0.31496062992125984" right="0.3937007874015748" top="0.5905511811023623" bottom="0.3937007874015748" header="0.31496062992125984" footer="0.2362204724409449"/>
  <pageSetup horizontalDpi="300" verticalDpi="300" orientation="landscape" pageOrder="overThenDown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B11" sqref="B11"/>
    </sheetView>
  </sheetViews>
  <sheetFormatPr defaultColWidth="8.88671875" defaultRowHeight="13.5"/>
  <cols>
    <col min="1" max="1" width="7.99609375" style="0" customWidth="1"/>
    <col min="2" max="2" width="7.88671875" style="0" customWidth="1"/>
    <col min="3" max="5" width="10.77734375" style="0" customWidth="1"/>
    <col min="6" max="6" width="20.6640625" style="0" customWidth="1"/>
    <col min="7" max="7" width="43.4453125" style="0" customWidth="1"/>
  </cols>
  <sheetData>
    <row r="1" ht="8.25" customHeight="1"/>
    <row r="2" spans="1:7" s="547" customFormat="1" ht="23.25" customHeight="1">
      <c r="A2" s="747" t="s">
        <v>169</v>
      </c>
      <c r="B2" s="748"/>
      <c r="C2" s="748"/>
      <c r="D2" s="748"/>
      <c r="E2" s="748"/>
      <c r="F2" s="748"/>
      <c r="G2" s="748"/>
    </row>
    <row r="3" ht="15" customHeight="1" thickBot="1"/>
    <row r="4" spans="1:7" s="1" customFormat="1" ht="18.75" customHeight="1" thickBot="1">
      <c r="A4" s="479" t="s">
        <v>46</v>
      </c>
      <c r="B4" s="480" t="s">
        <v>126</v>
      </c>
      <c r="C4" s="481" t="s">
        <v>127</v>
      </c>
      <c r="D4" s="481" t="s">
        <v>128</v>
      </c>
      <c r="E4" s="481" t="s">
        <v>129</v>
      </c>
      <c r="F4" s="481" t="s">
        <v>130</v>
      </c>
      <c r="G4" s="482" t="s">
        <v>131</v>
      </c>
    </row>
    <row r="5" spans="1:7" s="1" customFormat="1" ht="19.5" customHeight="1" thickBot="1" thickTop="1">
      <c r="A5" s="483"/>
      <c r="B5" s="484" t="s">
        <v>132</v>
      </c>
      <c r="C5" s="487">
        <v>189141</v>
      </c>
      <c r="D5" s="486"/>
      <c r="E5" s="487">
        <v>187354</v>
      </c>
      <c r="F5" s="486"/>
      <c r="G5" s="488"/>
    </row>
    <row r="6" spans="1:7" s="1" customFormat="1" ht="18" customHeight="1" thickTop="1">
      <c r="A6" s="749" t="s">
        <v>35</v>
      </c>
      <c r="B6" s="548" t="s">
        <v>48</v>
      </c>
      <c r="C6" s="548">
        <v>11791.57</v>
      </c>
      <c r="D6" s="548" t="s">
        <v>45</v>
      </c>
      <c r="E6" s="548">
        <f>E7+E8</f>
        <v>10810.53</v>
      </c>
      <c r="F6" s="548"/>
      <c r="G6" s="549"/>
    </row>
    <row r="7" spans="1:7" s="1" customFormat="1" ht="18" customHeight="1">
      <c r="A7" s="750"/>
      <c r="B7" s="550" t="s">
        <v>49</v>
      </c>
      <c r="C7" s="550">
        <v>11791.57</v>
      </c>
      <c r="D7" s="550" t="s">
        <v>133</v>
      </c>
      <c r="E7" s="550">
        <v>5130.97</v>
      </c>
      <c r="F7" s="550" t="s">
        <v>172</v>
      </c>
      <c r="G7" s="551" t="s">
        <v>173</v>
      </c>
    </row>
    <row r="8" spans="1:7" s="1" customFormat="1" ht="18" customHeight="1">
      <c r="A8" s="750"/>
      <c r="B8" s="550" t="s">
        <v>50</v>
      </c>
      <c r="C8" s="550"/>
      <c r="D8" s="550"/>
      <c r="E8" s="550">
        <v>5679.56</v>
      </c>
      <c r="F8" s="550" t="s">
        <v>174</v>
      </c>
      <c r="G8" s="551" t="s">
        <v>175</v>
      </c>
    </row>
    <row r="9" spans="1:7" s="1" customFormat="1" ht="18" customHeight="1">
      <c r="A9" s="751"/>
      <c r="B9" s="552" t="s">
        <v>51</v>
      </c>
      <c r="C9" s="552"/>
      <c r="D9" s="552"/>
      <c r="E9" s="552"/>
      <c r="F9" s="552"/>
      <c r="G9" s="553"/>
    </row>
    <row r="10" spans="1:7" ht="18" customHeight="1">
      <c r="A10" s="752" t="s">
        <v>52</v>
      </c>
      <c r="B10" s="554" t="s">
        <v>48</v>
      </c>
      <c r="C10" s="555">
        <v>10245</v>
      </c>
      <c r="D10" s="555" t="s">
        <v>45</v>
      </c>
      <c r="E10" s="555">
        <v>9912.68</v>
      </c>
      <c r="F10" s="555"/>
      <c r="G10" s="556"/>
    </row>
    <row r="11" spans="1:7" ht="18" customHeight="1">
      <c r="A11" s="753"/>
      <c r="B11" s="557"/>
      <c r="C11" s="550">
        <v>10245.3</v>
      </c>
      <c r="D11" s="550" t="s">
        <v>133</v>
      </c>
      <c r="E11" s="550">
        <v>6779.33</v>
      </c>
      <c r="F11" s="550" t="s">
        <v>174</v>
      </c>
      <c r="G11" s="551" t="s">
        <v>176</v>
      </c>
    </row>
    <row r="12" spans="1:7" ht="18" customHeight="1">
      <c r="A12" s="754"/>
      <c r="B12" s="506"/>
      <c r="C12" s="552"/>
      <c r="D12" s="552" t="s">
        <v>133</v>
      </c>
      <c r="E12" s="552">
        <v>3133.35</v>
      </c>
      <c r="F12" s="552" t="s">
        <v>177</v>
      </c>
      <c r="G12" s="553" t="s">
        <v>173</v>
      </c>
    </row>
    <row r="13" spans="1:7" s="1" customFormat="1" ht="27">
      <c r="A13" s="507" t="s">
        <v>53</v>
      </c>
      <c r="B13" s="508" t="s">
        <v>48</v>
      </c>
      <c r="C13" s="509">
        <v>14536</v>
      </c>
      <c r="D13" s="509" t="s">
        <v>138</v>
      </c>
      <c r="E13" s="509">
        <v>14536</v>
      </c>
      <c r="F13" s="510" t="s">
        <v>178</v>
      </c>
      <c r="G13" s="511" t="s">
        <v>179</v>
      </c>
    </row>
    <row r="14" spans="1:7" s="1" customFormat="1" ht="18" customHeight="1">
      <c r="A14" s="507" t="s">
        <v>54</v>
      </c>
      <c r="B14" s="508" t="s">
        <v>48</v>
      </c>
      <c r="C14" s="512">
        <v>8983</v>
      </c>
      <c r="D14" s="512" t="s">
        <v>180</v>
      </c>
      <c r="E14" s="512">
        <v>8983</v>
      </c>
      <c r="F14" s="512" t="s">
        <v>181</v>
      </c>
      <c r="G14" s="511" t="s">
        <v>182</v>
      </c>
    </row>
    <row r="15" spans="1:7" s="1" customFormat="1" ht="17.25" customHeight="1">
      <c r="A15" s="752" t="s">
        <v>55</v>
      </c>
      <c r="B15" s="554" t="s">
        <v>48</v>
      </c>
      <c r="C15" s="555">
        <v>25101</v>
      </c>
      <c r="D15" s="555" t="s">
        <v>45</v>
      </c>
      <c r="E15" s="555">
        <v>25101</v>
      </c>
      <c r="F15" s="555"/>
      <c r="G15" s="556"/>
    </row>
    <row r="16" spans="1:7" s="1" customFormat="1" ht="17.25" customHeight="1">
      <c r="A16" s="753"/>
      <c r="B16" s="557" t="s">
        <v>49</v>
      </c>
      <c r="C16" s="550">
        <v>5098</v>
      </c>
      <c r="D16" s="755" t="s">
        <v>183</v>
      </c>
      <c r="E16" s="550">
        <v>5098</v>
      </c>
      <c r="F16" s="757" t="s">
        <v>148</v>
      </c>
      <c r="G16" s="759" t="s">
        <v>149</v>
      </c>
    </row>
    <row r="17" spans="1:7" s="1" customFormat="1" ht="17.25" customHeight="1">
      <c r="A17" s="754"/>
      <c r="B17" s="506" t="s">
        <v>144</v>
      </c>
      <c r="C17" s="552">
        <v>20003</v>
      </c>
      <c r="D17" s="756"/>
      <c r="E17" s="552">
        <v>2003</v>
      </c>
      <c r="F17" s="758"/>
      <c r="G17" s="760"/>
    </row>
    <row r="18" spans="1:7" ht="13.5">
      <c r="A18" s="743" t="s">
        <v>56</v>
      </c>
      <c r="B18" s="745" t="s">
        <v>48</v>
      </c>
      <c r="C18" s="745">
        <v>8168.9</v>
      </c>
      <c r="D18" s="765" t="s">
        <v>184</v>
      </c>
      <c r="E18" s="745">
        <v>8168.9</v>
      </c>
      <c r="F18" s="745" t="s">
        <v>185</v>
      </c>
      <c r="G18" s="761" t="s">
        <v>186</v>
      </c>
    </row>
    <row r="19" spans="1:7" ht="17.25" customHeight="1">
      <c r="A19" s="744"/>
      <c r="B19" s="746"/>
      <c r="C19" s="746"/>
      <c r="D19" s="746"/>
      <c r="E19" s="746"/>
      <c r="F19" s="746"/>
      <c r="G19" s="762"/>
    </row>
    <row r="20" spans="1:7" ht="18" customHeight="1">
      <c r="A20" s="507" t="s">
        <v>39</v>
      </c>
      <c r="B20" s="508" t="s">
        <v>48</v>
      </c>
      <c r="C20" s="512">
        <v>10447.53</v>
      </c>
      <c r="D20" s="512" t="s">
        <v>187</v>
      </c>
      <c r="E20" s="512">
        <v>10447.53</v>
      </c>
      <c r="F20" s="512" t="s">
        <v>172</v>
      </c>
      <c r="G20" s="511" t="s">
        <v>173</v>
      </c>
    </row>
    <row r="21" spans="1:7" ht="18" customHeight="1">
      <c r="A21" s="507" t="s">
        <v>57</v>
      </c>
      <c r="B21" s="508" t="s">
        <v>48</v>
      </c>
      <c r="C21" s="512">
        <v>10849.33</v>
      </c>
      <c r="D21" s="512" t="s">
        <v>122</v>
      </c>
      <c r="E21" s="512">
        <v>10849.33</v>
      </c>
      <c r="F21" s="512" t="s">
        <v>170</v>
      </c>
      <c r="G21" s="511" t="s">
        <v>171</v>
      </c>
    </row>
    <row r="22" spans="1:7" ht="18" customHeight="1">
      <c r="A22" s="752" t="s">
        <v>40</v>
      </c>
      <c r="B22" s="555" t="s">
        <v>49</v>
      </c>
      <c r="C22" s="763">
        <v>22780.97</v>
      </c>
      <c r="D22" s="558" t="s">
        <v>188</v>
      </c>
      <c r="E22" s="763">
        <v>22780.97</v>
      </c>
      <c r="F22" s="763" t="s">
        <v>189</v>
      </c>
      <c r="G22" s="764" t="s">
        <v>190</v>
      </c>
    </row>
    <row r="23" spans="1:7" ht="18" customHeight="1">
      <c r="A23" s="754"/>
      <c r="B23" s="552" t="s">
        <v>50</v>
      </c>
      <c r="C23" s="758"/>
      <c r="D23" s="559" t="s">
        <v>191</v>
      </c>
      <c r="E23" s="758"/>
      <c r="F23" s="758"/>
      <c r="G23" s="760"/>
    </row>
    <row r="24" spans="1:7" ht="18" customHeight="1">
      <c r="A24" s="560" t="s">
        <v>58</v>
      </c>
      <c r="B24" s="561" t="s">
        <v>48</v>
      </c>
      <c r="C24" s="512">
        <v>11528</v>
      </c>
      <c r="D24" s="562" t="s">
        <v>192</v>
      </c>
      <c r="E24" s="512">
        <v>11382</v>
      </c>
      <c r="F24" s="562" t="s">
        <v>193</v>
      </c>
      <c r="G24" s="563" t="s">
        <v>194</v>
      </c>
    </row>
    <row r="25" spans="1:7" ht="18" customHeight="1">
      <c r="A25" s="524" t="s">
        <v>59</v>
      </c>
      <c r="B25" s="525" t="s">
        <v>48</v>
      </c>
      <c r="C25" s="512">
        <v>8402</v>
      </c>
      <c r="D25" s="512" t="s">
        <v>187</v>
      </c>
      <c r="E25" s="512">
        <v>8165.24</v>
      </c>
      <c r="F25" s="512" t="s">
        <v>195</v>
      </c>
      <c r="G25" s="511" t="s">
        <v>196</v>
      </c>
    </row>
    <row r="26" spans="1:7" ht="18" customHeight="1">
      <c r="A26" s="507" t="s">
        <v>60</v>
      </c>
      <c r="B26" s="508" t="s">
        <v>48</v>
      </c>
      <c r="C26" s="512">
        <v>5326.19</v>
      </c>
      <c r="D26" s="512" t="s">
        <v>197</v>
      </c>
      <c r="E26" s="512">
        <v>5326.19</v>
      </c>
      <c r="F26" s="512" t="s">
        <v>177</v>
      </c>
      <c r="G26" s="511" t="s">
        <v>173</v>
      </c>
    </row>
    <row r="27" spans="1:7" ht="18" customHeight="1" thickBot="1">
      <c r="A27" s="564" t="s">
        <v>61</v>
      </c>
      <c r="B27" s="546" t="s">
        <v>49</v>
      </c>
      <c r="C27" s="545">
        <v>2085</v>
      </c>
      <c r="D27" s="545" t="s">
        <v>198</v>
      </c>
      <c r="E27" s="545">
        <v>2085</v>
      </c>
      <c r="F27" s="546" t="s">
        <v>161</v>
      </c>
      <c r="G27" s="4" t="s">
        <v>162</v>
      </c>
    </row>
    <row r="28" ht="18" customHeight="1"/>
    <row r="29" ht="18" customHeight="1" thickBot="1"/>
    <row r="30" spans="1:7" ht="21.75" customHeight="1" thickBot="1">
      <c r="A30" s="479" t="s">
        <v>46</v>
      </c>
      <c r="B30" s="480" t="s">
        <v>126</v>
      </c>
      <c r="C30" s="481" t="s">
        <v>127</v>
      </c>
      <c r="D30" s="481" t="s">
        <v>128</v>
      </c>
      <c r="E30" s="481" t="s">
        <v>129</v>
      </c>
      <c r="F30" s="481" t="s">
        <v>130</v>
      </c>
      <c r="G30" s="482" t="s">
        <v>131</v>
      </c>
    </row>
    <row r="31" spans="1:7" ht="18" customHeight="1" thickTop="1">
      <c r="A31" s="533"/>
      <c r="B31" s="534" t="s">
        <v>48</v>
      </c>
      <c r="C31" s="534">
        <v>16541</v>
      </c>
      <c r="D31" s="534" t="s">
        <v>138</v>
      </c>
      <c r="E31" s="534">
        <v>16541</v>
      </c>
      <c r="F31" s="534" t="s">
        <v>199</v>
      </c>
      <c r="G31" s="565" t="s">
        <v>200</v>
      </c>
    </row>
    <row r="32" spans="1:7" ht="18" customHeight="1">
      <c r="A32" s="538" t="s">
        <v>47</v>
      </c>
      <c r="B32" s="494" t="s">
        <v>49</v>
      </c>
      <c r="C32" s="494">
        <v>8189</v>
      </c>
      <c r="D32" s="494" t="s">
        <v>138</v>
      </c>
      <c r="E32" s="494">
        <v>8189</v>
      </c>
      <c r="F32" s="494" t="s">
        <v>199</v>
      </c>
      <c r="G32" s="566" t="s">
        <v>200</v>
      </c>
    </row>
    <row r="33" spans="1:7" ht="18" customHeight="1">
      <c r="A33" s="539"/>
      <c r="B33" s="498" t="s">
        <v>50</v>
      </c>
      <c r="C33" s="498">
        <v>8352</v>
      </c>
      <c r="D33" s="498" t="s">
        <v>138</v>
      </c>
      <c r="E33" s="498">
        <v>8352</v>
      </c>
      <c r="F33" s="498" t="s">
        <v>199</v>
      </c>
      <c r="G33" s="567" t="s">
        <v>200</v>
      </c>
    </row>
    <row r="34" spans="1:7" ht="18" customHeight="1">
      <c r="A34" s="540" t="s">
        <v>43</v>
      </c>
      <c r="B34" s="541" t="s">
        <v>48</v>
      </c>
      <c r="C34" s="541">
        <v>11441</v>
      </c>
      <c r="D34" s="541" t="s">
        <v>156</v>
      </c>
      <c r="E34" s="541">
        <v>11441</v>
      </c>
      <c r="F34" s="541" t="s">
        <v>165</v>
      </c>
      <c r="G34" s="542" t="s">
        <v>166</v>
      </c>
    </row>
    <row r="35" spans="1:7" ht="18" customHeight="1" thickBot="1">
      <c r="A35" s="543" t="s">
        <v>44</v>
      </c>
      <c r="B35" s="544" t="s">
        <v>48</v>
      </c>
      <c r="C35" s="544">
        <v>12999</v>
      </c>
      <c r="D35" s="544" t="s">
        <v>138</v>
      </c>
      <c r="E35" s="544">
        <v>12908</v>
      </c>
      <c r="F35" s="544" t="s">
        <v>201</v>
      </c>
      <c r="G35" s="568" t="s">
        <v>202</v>
      </c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19">
    <mergeCell ref="A22:A23"/>
    <mergeCell ref="E18:E19"/>
    <mergeCell ref="F18:F19"/>
    <mergeCell ref="G18:G19"/>
    <mergeCell ref="C22:C23"/>
    <mergeCell ref="E22:E23"/>
    <mergeCell ref="F22:F23"/>
    <mergeCell ref="G22:G23"/>
    <mergeCell ref="D18:D19"/>
    <mergeCell ref="C18:C19"/>
    <mergeCell ref="A18:A19"/>
    <mergeCell ref="B18:B19"/>
    <mergeCell ref="A2:G2"/>
    <mergeCell ref="A6:A9"/>
    <mergeCell ref="A10:A12"/>
    <mergeCell ref="D16:D17"/>
    <mergeCell ref="F16:F17"/>
    <mergeCell ref="G16:G17"/>
    <mergeCell ref="A15:A17"/>
  </mergeCells>
  <printOptions/>
  <pageMargins left="0.75" right="0.75" top="0.72" bottom="0.56" header="0.5" footer="0.41"/>
  <pageSetup horizontalDpi="300" verticalDpi="300" orientation="landscape" paperSize="9" r:id="rId1"/>
  <headerFooter alignWithMargins="0">
    <oddFooter>&amp;C74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D20" sqref="D20:D21"/>
    </sheetView>
  </sheetViews>
  <sheetFormatPr defaultColWidth="8.88671875" defaultRowHeight="13.5"/>
  <cols>
    <col min="1" max="1" width="7.99609375" style="0" customWidth="1"/>
    <col min="2" max="2" width="7.88671875" style="0" customWidth="1"/>
    <col min="3" max="5" width="10.77734375" style="0" customWidth="1"/>
    <col min="6" max="6" width="20.6640625" style="0" customWidth="1"/>
    <col min="7" max="7" width="43.4453125" style="0" customWidth="1"/>
  </cols>
  <sheetData>
    <row r="1" ht="7.5" customHeight="1"/>
    <row r="2" spans="1:7" ht="23.25" customHeight="1">
      <c r="A2" s="747" t="s">
        <v>125</v>
      </c>
      <c r="B2" s="748"/>
      <c r="C2" s="748"/>
      <c r="D2" s="748"/>
      <c r="E2" s="748"/>
      <c r="F2" s="748"/>
      <c r="G2" s="748"/>
    </row>
    <row r="3" ht="14.25" thickBot="1"/>
    <row r="4" spans="1:7" ht="15" customHeight="1" thickBot="1">
      <c r="A4" s="479" t="s">
        <v>46</v>
      </c>
      <c r="B4" s="480" t="s">
        <v>126</v>
      </c>
      <c r="C4" s="481" t="s">
        <v>127</v>
      </c>
      <c r="D4" s="481" t="s">
        <v>128</v>
      </c>
      <c r="E4" s="481" t="s">
        <v>129</v>
      </c>
      <c r="F4" s="481" t="s">
        <v>130</v>
      </c>
      <c r="G4" s="482" t="s">
        <v>131</v>
      </c>
    </row>
    <row r="5" spans="1:7" ht="19.5" customHeight="1" thickBot="1" thickTop="1">
      <c r="A5" s="483"/>
      <c r="B5" s="484" t="s">
        <v>132</v>
      </c>
      <c r="C5" s="485">
        <v>25237</v>
      </c>
      <c r="D5" s="486"/>
      <c r="E5" s="487">
        <v>23177</v>
      </c>
      <c r="F5" s="486"/>
      <c r="G5" s="488"/>
    </row>
    <row r="6" spans="1:7" ht="18" customHeight="1" thickTop="1">
      <c r="A6" s="750" t="s">
        <v>35</v>
      </c>
      <c r="B6" s="489" t="s">
        <v>48</v>
      </c>
      <c r="C6" s="490">
        <f>C7</f>
        <v>2116.59</v>
      </c>
      <c r="D6" s="491" t="s">
        <v>45</v>
      </c>
      <c r="E6" s="490">
        <f>E7</f>
        <v>2191.32</v>
      </c>
      <c r="F6" s="489"/>
      <c r="G6" s="492"/>
    </row>
    <row r="7" spans="1:7" ht="18" customHeight="1">
      <c r="A7" s="750"/>
      <c r="B7" s="493" t="s">
        <v>49</v>
      </c>
      <c r="C7" s="494">
        <v>2116.59</v>
      </c>
      <c r="D7" s="495" t="s">
        <v>133</v>
      </c>
      <c r="E7" s="494">
        <v>2191.32</v>
      </c>
      <c r="F7" s="493" t="s">
        <v>134</v>
      </c>
      <c r="G7" s="496" t="s">
        <v>135</v>
      </c>
    </row>
    <row r="8" spans="1:7" ht="18" customHeight="1">
      <c r="A8" s="750"/>
      <c r="B8" s="493" t="s">
        <v>50</v>
      </c>
      <c r="C8" s="494"/>
      <c r="D8" s="495"/>
      <c r="E8" s="494"/>
      <c r="F8" s="493"/>
      <c r="G8" s="496"/>
    </row>
    <row r="9" spans="1:7" ht="18" customHeight="1">
      <c r="A9" s="751"/>
      <c r="B9" s="497" t="s">
        <v>51</v>
      </c>
      <c r="C9" s="498"/>
      <c r="D9" s="499"/>
      <c r="E9" s="498"/>
      <c r="F9" s="497"/>
      <c r="G9" s="500"/>
    </row>
    <row r="10" spans="1:7" ht="18" customHeight="1">
      <c r="A10" s="766" t="s">
        <v>52</v>
      </c>
      <c r="B10" s="501" t="s">
        <v>48</v>
      </c>
      <c r="C10" s="502">
        <v>773</v>
      </c>
      <c r="D10" s="503" t="s">
        <v>45</v>
      </c>
      <c r="E10" s="502">
        <v>777</v>
      </c>
      <c r="F10" s="504"/>
      <c r="G10" s="505"/>
    </row>
    <row r="11" spans="1:7" ht="18" customHeight="1">
      <c r="A11" s="751"/>
      <c r="B11" s="506"/>
      <c r="C11" s="498">
        <v>773.2</v>
      </c>
      <c r="D11" s="499" t="s">
        <v>133</v>
      </c>
      <c r="E11" s="498">
        <v>776.66</v>
      </c>
      <c r="F11" s="497" t="s">
        <v>136</v>
      </c>
      <c r="G11" s="500" t="s">
        <v>137</v>
      </c>
    </row>
    <row r="12" spans="1:7" ht="18" customHeight="1">
      <c r="A12" s="507" t="s">
        <v>53</v>
      </c>
      <c r="B12" s="508" t="s">
        <v>48</v>
      </c>
      <c r="C12" s="509">
        <v>1271</v>
      </c>
      <c r="D12" s="509" t="s">
        <v>138</v>
      </c>
      <c r="E12" s="509">
        <v>1271</v>
      </c>
      <c r="F12" s="510" t="s">
        <v>253</v>
      </c>
      <c r="G12" s="511" t="s">
        <v>139</v>
      </c>
    </row>
    <row r="13" spans="1:7" ht="18" customHeight="1">
      <c r="A13" s="507" t="s">
        <v>54</v>
      </c>
      <c r="B13" s="508" t="s">
        <v>48</v>
      </c>
      <c r="C13" s="512">
        <v>552</v>
      </c>
      <c r="D13" s="513" t="s">
        <v>140</v>
      </c>
      <c r="E13" s="512">
        <v>552</v>
      </c>
      <c r="F13" s="514" t="s">
        <v>141</v>
      </c>
      <c r="G13" s="515" t="s">
        <v>142</v>
      </c>
    </row>
    <row r="14" spans="1:7" ht="18" customHeight="1">
      <c r="A14" s="766" t="s">
        <v>55</v>
      </c>
      <c r="B14" s="501" t="s">
        <v>48</v>
      </c>
      <c r="C14" s="502">
        <v>457</v>
      </c>
      <c r="D14" s="503" t="s">
        <v>45</v>
      </c>
      <c r="E14" s="502">
        <v>457</v>
      </c>
      <c r="F14" s="504"/>
      <c r="G14" s="505"/>
    </row>
    <row r="15" spans="1:7" ht="18" customHeight="1">
      <c r="A15" s="750"/>
      <c r="B15" s="516" t="s">
        <v>49</v>
      </c>
      <c r="C15" s="494">
        <v>30</v>
      </c>
      <c r="D15" s="495" t="s">
        <v>133</v>
      </c>
      <c r="E15" s="494">
        <v>30</v>
      </c>
      <c r="F15" s="493" t="s">
        <v>136</v>
      </c>
      <c r="G15" s="496" t="s">
        <v>143</v>
      </c>
    </row>
    <row r="16" spans="1:7" ht="18" customHeight="1">
      <c r="A16" s="767"/>
      <c r="B16" s="517" t="s">
        <v>144</v>
      </c>
      <c r="C16" s="498">
        <v>427</v>
      </c>
      <c r="D16" s="499" t="s">
        <v>133</v>
      </c>
      <c r="E16" s="498">
        <v>427</v>
      </c>
      <c r="F16" s="497" t="s">
        <v>145</v>
      </c>
      <c r="G16" s="500" t="s">
        <v>121</v>
      </c>
    </row>
    <row r="17" spans="1:7" ht="18" customHeight="1">
      <c r="A17" s="768" t="s">
        <v>146</v>
      </c>
      <c r="B17" s="518" t="s">
        <v>48</v>
      </c>
      <c r="C17" s="503">
        <v>4228</v>
      </c>
      <c r="D17" s="769" t="s">
        <v>147</v>
      </c>
      <c r="E17" s="503">
        <v>4228</v>
      </c>
      <c r="F17" s="504"/>
      <c r="G17" s="505"/>
    </row>
    <row r="18" spans="1:7" ht="18" customHeight="1">
      <c r="A18" s="750"/>
      <c r="B18" s="518" t="s">
        <v>49</v>
      </c>
      <c r="C18" s="495">
        <v>16</v>
      </c>
      <c r="D18" s="770"/>
      <c r="E18" s="495">
        <v>16</v>
      </c>
      <c r="F18" s="772" t="s">
        <v>148</v>
      </c>
      <c r="G18" s="774" t="s">
        <v>149</v>
      </c>
    </row>
    <row r="19" spans="1:7" ht="18" customHeight="1">
      <c r="A19" s="751"/>
      <c r="B19" s="518" t="s">
        <v>144</v>
      </c>
      <c r="C19" s="519">
        <v>4212</v>
      </c>
      <c r="D19" s="771"/>
      <c r="E19" s="519">
        <v>4212</v>
      </c>
      <c r="F19" s="773"/>
      <c r="G19" s="775"/>
    </row>
    <row r="20" spans="1:7" ht="18" customHeight="1">
      <c r="A20" s="781" t="s">
        <v>56</v>
      </c>
      <c r="B20" s="776" t="s">
        <v>48</v>
      </c>
      <c r="C20" s="746">
        <v>1259.79</v>
      </c>
      <c r="D20" s="777" t="s">
        <v>150</v>
      </c>
      <c r="E20" s="746">
        <v>1259.79</v>
      </c>
      <c r="F20" s="777" t="s">
        <v>151</v>
      </c>
      <c r="G20" s="779" t="s">
        <v>152</v>
      </c>
    </row>
    <row r="21" spans="1:7" ht="18" customHeight="1">
      <c r="A21" s="781"/>
      <c r="B21" s="776"/>
      <c r="C21" s="776"/>
      <c r="D21" s="778"/>
      <c r="E21" s="776"/>
      <c r="F21" s="778"/>
      <c r="G21" s="780"/>
    </row>
    <row r="22" spans="1:7" ht="18" customHeight="1">
      <c r="A22" s="507" t="s">
        <v>39</v>
      </c>
      <c r="B22" s="508" t="s">
        <v>48</v>
      </c>
      <c r="C22" s="520">
        <v>1308.85</v>
      </c>
      <c r="D22" s="521" t="s">
        <v>153</v>
      </c>
      <c r="E22" s="520">
        <v>1308.85</v>
      </c>
      <c r="F22" s="430" t="s">
        <v>134</v>
      </c>
      <c r="G22" s="10" t="s">
        <v>154</v>
      </c>
    </row>
    <row r="23" spans="1:7" ht="18" customHeight="1">
      <c r="A23" s="507" t="s">
        <v>57</v>
      </c>
      <c r="B23" s="508" t="s">
        <v>48</v>
      </c>
      <c r="C23" s="520">
        <v>554.54</v>
      </c>
      <c r="D23" s="521" t="s">
        <v>122</v>
      </c>
      <c r="E23" s="520">
        <v>554.54</v>
      </c>
      <c r="F23" s="430" t="s">
        <v>123</v>
      </c>
      <c r="G23" s="10" t="s">
        <v>124</v>
      </c>
    </row>
    <row r="24" spans="1:7" ht="18" customHeight="1">
      <c r="A24" s="507" t="s">
        <v>40</v>
      </c>
      <c r="B24" s="512" t="s">
        <v>48</v>
      </c>
      <c r="C24" s="512">
        <v>2263.07</v>
      </c>
      <c r="D24" s="513" t="s">
        <v>140</v>
      </c>
      <c r="E24" s="512">
        <v>2263.07</v>
      </c>
      <c r="F24" s="513" t="s">
        <v>136</v>
      </c>
      <c r="G24" s="522" t="s">
        <v>155</v>
      </c>
    </row>
    <row r="25" spans="1:7" ht="18" customHeight="1">
      <c r="A25" s="507" t="s">
        <v>58</v>
      </c>
      <c r="B25" s="512" t="s">
        <v>48</v>
      </c>
      <c r="C25" s="520">
        <v>2252</v>
      </c>
      <c r="D25" s="523" t="s">
        <v>156</v>
      </c>
      <c r="E25" s="520">
        <v>223</v>
      </c>
      <c r="F25" s="430" t="s">
        <v>134</v>
      </c>
      <c r="G25" s="10" t="s">
        <v>154</v>
      </c>
    </row>
    <row r="26" spans="1:7" ht="18" customHeight="1">
      <c r="A26" s="524" t="s">
        <v>59</v>
      </c>
      <c r="B26" s="525" t="s">
        <v>48</v>
      </c>
      <c r="C26" s="520">
        <v>1129</v>
      </c>
      <c r="D26" s="521" t="s">
        <v>138</v>
      </c>
      <c r="E26" s="520">
        <v>1131.38</v>
      </c>
      <c r="F26" s="430" t="s">
        <v>151</v>
      </c>
      <c r="G26" s="10" t="s">
        <v>157</v>
      </c>
    </row>
    <row r="27" spans="1:7" ht="18" customHeight="1">
      <c r="A27" s="507" t="s">
        <v>60</v>
      </c>
      <c r="B27" s="508" t="s">
        <v>48</v>
      </c>
      <c r="C27" s="520">
        <v>746.12</v>
      </c>
      <c r="D27" s="521" t="s">
        <v>150</v>
      </c>
      <c r="E27" s="520">
        <v>746.12</v>
      </c>
      <c r="F27" s="430" t="s">
        <v>158</v>
      </c>
      <c r="G27" s="10" t="s">
        <v>159</v>
      </c>
    </row>
    <row r="28" spans="1:7" ht="18" customHeight="1" thickBot="1">
      <c r="A28" s="526" t="s">
        <v>61</v>
      </c>
      <c r="B28" s="7" t="s">
        <v>49</v>
      </c>
      <c r="C28" s="527">
        <v>367</v>
      </c>
      <c r="D28" s="527" t="s">
        <v>160</v>
      </c>
      <c r="E28" s="527">
        <v>367</v>
      </c>
      <c r="F28" s="5" t="s">
        <v>161</v>
      </c>
      <c r="G28" s="6" t="s">
        <v>162</v>
      </c>
    </row>
    <row r="29" spans="1:7" ht="14.25" thickBot="1">
      <c r="A29" s="528"/>
      <c r="B29" s="528"/>
      <c r="C29" s="528"/>
      <c r="D29" s="528"/>
      <c r="E29" s="528"/>
      <c r="F29" s="528"/>
      <c r="G29" s="528"/>
    </row>
    <row r="30" spans="1:7" ht="18" customHeight="1" thickBot="1">
      <c r="A30" s="529" t="s">
        <v>46</v>
      </c>
      <c r="B30" s="530" t="s">
        <v>126</v>
      </c>
      <c r="C30" s="531" t="s">
        <v>127</v>
      </c>
      <c r="D30" s="531" t="s">
        <v>128</v>
      </c>
      <c r="E30" s="531" t="s">
        <v>129</v>
      </c>
      <c r="F30" s="531" t="s">
        <v>130</v>
      </c>
      <c r="G30" s="532" t="s">
        <v>131</v>
      </c>
    </row>
    <row r="31" spans="1:7" ht="18" customHeight="1" thickTop="1">
      <c r="A31" s="533"/>
      <c r="B31" s="534" t="s">
        <v>48</v>
      </c>
      <c r="C31" s="534">
        <v>1894</v>
      </c>
      <c r="D31" s="535" t="s">
        <v>138</v>
      </c>
      <c r="E31" s="534">
        <v>1894</v>
      </c>
      <c r="F31" s="536" t="s">
        <v>163</v>
      </c>
      <c r="G31" s="537" t="s">
        <v>164</v>
      </c>
    </row>
    <row r="32" spans="1:7" ht="18" customHeight="1">
      <c r="A32" s="538" t="s">
        <v>47</v>
      </c>
      <c r="B32" s="494" t="s">
        <v>49</v>
      </c>
      <c r="C32" s="494">
        <v>850</v>
      </c>
      <c r="D32" s="495" t="s">
        <v>138</v>
      </c>
      <c r="E32" s="494">
        <v>850</v>
      </c>
      <c r="F32" s="493" t="s">
        <v>163</v>
      </c>
      <c r="G32" s="496" t="s">
        <v>164</v>
      </c>
    </row>
    <row r="33" spans="1:7" ht="18" customHeight="1">
      <c r="A33" s="539"/>
      <c r="B33" s="498" t="s">
        <v>50</v>
      </c>
      <c r="C33" s="498">
        <v>1044</v>
      </c>
      <c r="D33" s="499" t="s">
        <v>138</v>
      </c>
      <c r="E33" s="498">
        <v>1044</v>
      </c>
      <c r="F33" s="497" t="s">
        <v>163</v>
      </c>
      <c r="G33" s="500" t="s">
        <v>164</v>
      </c>
    </row>
    <row r="34" spans="1:7" ht="18" customHeight="1">
      <c r="A34" s="540" t="s">
        <v>43</v>
      </c>
      <c r="B34" s="541" t="s">
        <v>48</v>
      </c>
      <c r="C34" s="541">
        <v>2629</v>
      </c>
      <c r="D34" s="541" t="s">
        <v>156</v>
      </c>
      <c r="E34" s="541">
        <v>2629</v>
      </c>
      <c r="F34" s="541" t="s">
        <v>165</v>
      </c>
      <c r="G34" s="542" t="s">
        <v>166</v>
      </c>
    </row>
    <row r="35" spans="1:7" ht="18" customHeight="1" thickBot="1">
      <c r="A35" s="543" t="s">
        <v>44</v>
      </c>
      <c r="B35" s="544" t="s">
        <v>48</v>
      </c>
      <c r="C35" s="544">
        <v>1802</v>
      </c>
      <c r="D35" s="545" t="s">
        <v>138</v>
      </c>
      <c r="E35" s="544">
        <v>1691</v>
      </c>
      <c r="F35" s="546" t="s">
        <v>167</v>
      </c>
      <c r="G35" s="4" t="s">
        <v>168</v>
      </c>
    </row>
  </sheetData>
  <mergeCells count="15">
    <mergeCell ref="E20:E21"/>
    <mergeCell ref="F20:F21"/>
    <mergeCell ref="G20:G21"/>
    <mergeCell ref="A20:A21"/>
    <mergeCell ref="B20:B21"/>
    <mergeCell ref="C20:C21"/>
    <mergeCell ref="D20:D21"/>
    <mergeCell ref="A17:A19"/>
    <mergeCell ref="D17:D19"/>
    <mergeCell ref="F18:F19"/>
    <mergeCell ref="G18:G19"/>
    <mergeCell ref="A2:G2"/>
    <mergeCell ref="A6:A9"/>
    <mergeCell ref="A10:A11"/>
    <mergeCell ref="A14:A16"/>
  </mergeCells>
  <printOptions/>
  <pageMargins left="0.75" right="0.75" top="0.68" bottom="0.46" header="0.5" footer="0.36"/>
  <pageSetup horizontalDpi="300" verticalDpi="300" orientation="landscape" paperSize="9" r:id="rId1"/>
  <headerFooter alignWithMargins="0">
    <oddFooter>&amp;C76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27"/>
  <sheetViews>
    <sheetView workbookViewId="0" topLeftCell="A1">
      <selection activeCell="G7" sqref="G7"/>
    </sheetView>
  </sheetViews>
  <sheetFormatPr defaultColWidth="8.88671875" defaultRowHeight="13.5"/>
  <cols>
    <col min="1" max="1" width="8.88671875" style="1" customWidth="1"/>
    <col min="2" max="2" width="10.3359375" style="1" customWidth="1"/>
    <col min="3" max="3" width="9.21484375" style="1" customWidth="1"/>
    <col min="4" max="4" width="8.77734375" style="1" customWidth="1"/>
    <col min="5" max="5" width="8.3359375" style="1" customWidth="1"/>
    <col min="6" max="6" width="8.4453125" style="1" customWidth="1"/>
    <col min="7" max="7" width="11.99609375" style="1" customWidth="1"/>
    <col min="8" max="8" width="9.77734375" style="1" customWidth="1"/>
    <col min="9" max="9" width="9.3359375" style="1" customWidth="1"/>
    <col min="10" max="10" width="9.6640625" style="1" customWidth="1"/>
    <col min="11" max="11" width="9.77734375" style="1" customWidth="1"/>
    <col min="12" max="12" width="8.88671875" style="1" customWidth="1"/>
    <col min="13" max="13" width="9.6640625" style="1" customWidth="1"/>
    <col min="14" max="15" width="9.4453125" style="1" customWidth="1"/>
    <col min="16" max="16384" width="8.88671875" style="1" customWidth="1"/>
  </cols>
  <sheetData>
    <row r="2" spans="1:15" ht="25.5">
      <c r="A2" s="782" t="s">
        <v>203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</row>
    <row r="3" ht="13.5" customHeight="1" thickBot="1"/>
    <row r="4" spans="1:15" s="569" customFormat="1" ht="24.75" customHeight="1">
      <c r="A4" s="784" t="s">
        <v>355</v>
      </c>
      <c r="B4" s="786" t="s">
        <v>356</v>
      </c>
      <c r="C4" s="786"/>
      <c r="D4" s="786"/>
      <c r="E4" s="786"/>
      <c r="F4" s="786"/>
      <c r="G4" s="787" t="s">
        <v>357</v>
      </c>
      <c r="H4" s="788"/>
      <c r="I4" s="788"/>
      <c r="J4" s="788"/>
      <c r="K4" s="788"/>
      <c r="L4" s="788"/>
      <c r="M4" s="789"/>
      <c r="N4" s="790" t="s">
        <v>361</v>
      </c>
      <c r="O4" s="792" t="s">
        <v>360</v>
      </c>
    </row>
    <row r="5" spans="1:15" s="569" customFormat="1" ht="24.75" customHeight="1" thickBot="1">
      <c r="A5" s="785"/>
      <c r="B5" s="634" t="s">
        <v>368</v>
      </c>
      <c r="C5" s="634" t="s">
        <v>372</v>
      </c>
      <c r="D5" s="634" t="s">
        <v>369</v>
      </c>
      <c r="E5" s="634" t="s">
        <v>370</v>
      </c>
      <c r="F5" s="634" t="s">
        <v>371</v>
      </c>
      <c r="G5" s="634" t="s">
        <v>368</v>
      </c>
      <c r="H5" s="634" t="s">
        <v>362</v>
      </c>
      <c r="I5" s="634" t="s">
        <v>363</v>
      </c>
      <c r="J5" s="634" t="s">
        <v>364</v>
      </c>
      <c r="K5" s="634" t="s">
        <v>365</v>
      </c>
      <c r="L5" s="634" t="s">
        <v>366</v>
      </c>
      <c r="M5" s="634" t="s">
        <v>367</v>
      </c>
      <c r="N5" s="791"/>
      <c r="O5" s="793"/>
    </row>
    <row r="6" spans="1:15" s="571" customFormat="1" ht="22.5" customHeight="1">
      <c r="A6" s="570" t="s">
        <v>118</v>
      </c>
      <c r="B6" s="635">
        <f>SUM(C6:F6)</f>
        <v>714845</v>
      </c>
      <c r="C6" s="635">
        <v>714845</v>
      </c>
      <c r="D6" s="635"/>
      <c r="E6" s="635"/>
      <c r="F6" s="635"/>
      <c r="G6" s="635">
        <f>SUM(H6:M6)</f>
        <v>4634808</v>
      </c>
      <c r="H6" s="635">
        <v>1259349</v>
      </c>
      <c r="I6" s="635">
        <v>216177</v>
      </c>
      <c r="J6" s="635">
        <v>246581</v>
      </c>
      <c r="K6" s="635">
        <v>1647993</v>
      </c>
      <c r="L6" s="635">
        <v>655141</v>
      </c>
      <c r="M6" s="635">
        <v>609567</v>
      </c>
      <c r="N6" s="635">
        <f>43907.14+40959.18</f>
        <v>84866.32</v>
      </c>
      <c r="O6" s="636">
        <f>G6/N6*1000</f>
        <v>54613.043195463164</v>
      </c>
    </row>
    <row r="7" spans="1:15" s="571" customFormat="1" ht="22.5" customHeight="1">
      <c r="A7" s="572" t="s">
        <v>119</v>
      </c>
      <c r="B7" s="541">
        <f>SUM(C7:F7)</f>
        <v>0</v>
      </c>
      <c r="C7" s="541"/>
      <c r="D7" s="541"/>
      <c r="E7" s="541"/>
      <c r="F7" s="541"/>
      <c r="G7" s="541">
        <f>SUM(H7:M7)</f>
        <v>4451330</v>
      </c>
      <c r="H7" s="541">
        <v>1273582</v>
      </c>
      <c r="I7" s="541">
        <v>674168</v>
      </c>
      <c r="J7" s="541">
        <v>153692</v>
      </c>
      <c r="K7" s="541">
        <v>557263</v>
      </c>
      <c r="L7" s="541">
        <v>186136</v>
      </c>
      <c r="M7" s="541">
        <v>1606489</v>
      </c>
      <c r="N7" s="541">
        <v>80725.78</v>
      </c>
      <c r="O7" s="542">
        <f>G7/N7*1000</f>
        <v>55141.36871765129</v>
      </c>
    </row>
    <row r="8" spans="1:15" s="571" customFormat="1" ht="22.5" customHeight="1">
      <c r="A8" s="573" t="s">
        <v>120</v>
      </c>
      <c r="B8" s="541">
        <f>SUM(C8:F8)</f>
        <v>0</v>
      </c>
      <c r="C8" s="541"/>
      <c r="D8" s="541"/>
      <c r="E8" s="541"/>
      <c r="F8" s="541"/>
      <c r="G8" s="541">
        <v>4207205</v>
      </c>
      <c r="H8" s="541">
        <v>1003987</v>
      </c>
      <c r="I8" s="541">
        <v>671541</v>
      </c>
      <c r="J8" s="541">
        <v>706673</v>
      </c>
      <c r="K8" s="541">
        <v>438265</v>
      </c>
      <c r="L8" s="541">
        <v>132336</v>
      </c>
      <c r="M8" s="541">
        <v>1254403</v>
      </c>
      <c r="N8" s="541">
        <v>123845</v>
      </c>
      <c r="O8" s="542">
        <v>33972</v>
      </c>
    </row>
    <row r="9" spans="1:15" s="571" customFormat="1" ht="22.5" customHeight="1">
      <c r="A9" s="574" t="s">
        <v>204</v>
      </c>
      <c r="B9" s="637" t="s">
        <v>358</v>
      </c>
      <c r="C9" s="637" t="s">
        <v>358</v>
      </c>
      <c r="D9" s="637" t="s">
        <v>358</v>
      </c>
      <c r="E9" s="637" t="s">
        <v>358</v>
      </c>
      <c r="F9" s="637" t="s">
        <v>358</v>
      </c>
      <c r="G9" s="637">
        <f>SUM(H9:M9)</f>
        <v>2915334</v>
      </c>
      <c r="H9" s="637">
        <v>804836</v>
      </c>
      <c r="I9" s="637">
        <v>346614</v>
      </c>
      <c r="J9" s="637">
        <v>397541</v>
      </c>
      <c r="K9" s="637">
        <v>395730</v>
      </c>
      <c r="L9" s="637">
        <v>104097</v>
      </c>
      <c r="M9" s="637">
        <v>866516</v>
      </c>
      <c r="N9" s="637">
        <v>61891.61</v>
      </c>
      <c r="O9" s="638">
        <v>47100</v>
      </c>
    </row>
    <row r="10" spans="1:15" s="576" customFormat="1" ht="22.5" customHeight="1">
      <c r="A10" s="575" t="s">
        <v>205</v>
      </c>
      <c r="B10" s="541">
        <v>2185654</v>
      </c>
      <c r="C10" s="541">
        <v>1191986</v>
      </c>
      <c r="D10" s="541">
        <v>0</v>
      </c>
      <c r="E10" s="541">
        <v>992392</v>
      </c>
      <c r="F10" s="541">
        <v>1279</v>
      </c>
      <c r="G10" s="541">
        <v>5092659</v>
      </c>
      <c r="H10" s="541">
        <v>1543421</v>
      </c>
      <c r="I10" s="541">
        <v>825302</v>
      </c>
      <c r="J10" s="541">
        <v>1598029</v>
      </c>
      <c r="K10" s="541">
        <v>387935</v>
      </c>
      <c r="L10" s="541">
        <v>44541</v>
      </c>
      <c r="M10" s="541">
        <v>693431</v>
      </c>
      <c r="N10" s="541">
        <v>147615</v>
      </c>
      <c r="O10" s="542">
        <v>19693</v>
      </c>
    </row>
    <row r="11" spans="1:15" s="571" customFormat="1" ht="22.5" customHeight="1">
      <c r="A11" s="577" t="s">
        <v>206</v>
      </c>
      <c r="B11" s="639">
        <f>C11+F11</f>
        <v>1237546</v>
      </c>
      <c r="C11" s="639">
        <v>681352</v>
      </c>
      <c r="D11" s="639"/>
      <c r="E11" s="639"/>
      <c r="F11" s="639">
        <v>556194</v>
      </c>
      <c r="G11" s="639">
        <f>SUM(H11:M11)</f>
        <v>2803052</v>
      </c>
      <c r="H11" s="639">
        <v>976509</v>
      </c>
      <c r="I11" s="639">
        <v>379213</v>
      </c>
      <c r="J11" s="640">
        <v>90373</v>
      </c>
      <c r="K11" s="639">
        <v>111496</v>
      </c>
      <c r="L11" s="639">
        <v>223237</v>
      </c>
      <c r="M11" s="639">
        <v>1022224</v>
      </c>
      <c r="N11" s="639">
        <v>61749</v>
      </c>
      <c r="O11" s="641">
        <v>25352</v>
      </c>
    </row>
    <row r="12" spans="1:15" s="571" customFormat="1" ht="22.5" customHeight="1">
      <c r="A12" s="573" t="s">
        <v>207</v>
      </c>
      <c r="B12" s="541">
        <f>+C12</f>
        <v>660837</v>
      </c>
      <c r="C12" s="541">
        <v>660837</v>
      </c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2"/>
    </row>
    <row r="13" spans="1:15" s="571" customFormat="1" ht="22.5" customHeight="1">
      <c r="A13" s="573" t="s">
        <v>208</v>
      </c>
      <c r="B13" s="541">
        <f>SUM(C13:F13)</f>
        <v>633148</v>
      </c>
      <c r="C13" s="541">
        <v>633148</v>
      </c>
      <c r="D13" s="541" t="s">
        <v>358</v>
      </c>
      <c r="E13" s="541" t="s">
        <v>358</v>
      </c>
      <c r="F13" s="541" t="s">
        <v>358</v>
      </c>
      <c r="G13" s="541">
        <f>SUM(H13:M13)</f>
        <v>2926634</v>
      </c>
      <c r="H13" s="541">
        <v>1327272</v>
      </c>
      <c r="I13" s="541">
        <v>397407</v>
      </c>
      <c r="J13" s="541">
        <v>249679</v>
      </c>
      <c r="K13" s="541">
        <v>176093</v>
      </c>
      <c r="L13" s="541">
        <v>457918</v>
      </c>
      <c r="M13" s="541">
        <v>318265</v>
      </c>
      <c r="N13" s="541">
        <v>62890</v>
      </c>
      <c r="O13" s="542">
        <v>36468</v>
      </c>
    </row>
    <row r="14" spans="1:15" s="571" customFormat="1" ht="22.5" customHeight="1">
      <c r="A14" s="573" t="s">
        <v>209</v>
      </c>
      <c r="B14" s="541">
        <f>SUM(C14:F14)</f>
        <v>255002</v>
      </c>
      <c r="C14" s="642">
        <v>0</v>
      </c>
      <c r="D14" s="541">
        <v>231190</v>
      </c>
      <c r="E14" s="642">
        <v>0</v>
      </c>
      <c r="F14" s="541">
        <v>23812</v>
      </c>
      <c r="G14" s="541">
        <f>SUM(H14:M14)</f>
        <v>4581225</v>
      </c>
      <c r="H14" s="541">
        <v>1902000</v>
      </c>
      <c r="I14" s="541">
        <v>135620</v>
      </c>
      <c r="J14" s="541">
        <v>370744</v>
      </c>
      <c r="K14" s="541">
        <v>278091</v>
      </c>
      <c r="L14" s="541">
        <v>453428</v>
      </c>
      <c r="M14" s="541">
        <v>1441342</v>
      </c>
      <c r="N14" s="541">
        <v>181997.49</v>
      </c>
      <c r="O14" s="542">
        <f>SUM(G14-B14)/N14*1000</f>
        <v>23770.78387179955</v>
      </c>
    </row>
    <row r="15" spans="1:15" s="571" customFormat="1" ht="22.5" customHeight="1">
      <c r="A15" s="572" t="s">
        <v>210</v>
      </c>
      <c r="B15" s="541">
        <f>SUM(C15:F15)</f>
        <v>1035118</v>
      </c>
      <c r="C15" s="541">
        <v>1035118</v>
      </c>
      <c r="D15" s="541"/>
      <c r="E15" s="541"/>
      <c r="F15" s="541"/>
      <c r="G15" s="541">
        <f>SUM(H15:M15)</f>
        <v>4577946</v>
      </c>
      <c r="H15" s="541">
        <v>992064</v>
      </c>
      <c r="I15" s="541">
        <v>3170553</v>
      </c>
      <c r="J15" s="541">
        <v>415329</v>
      </c>
      <c r="K15" s="541"/>
      <c r="L15" s="541"/>
      <c r="M15" s="541"/>
      <c r="N15" s="541">
        <v>93880</v>
      </c>
      <c r="O15" s="542">
        <v>37738</v>
      </c>
    </row>
    <row r="16" spans="1:15" s="579" customFormat="1" ht="22.5" customHeight="1">
      <c r="A16" s="578" t="s">
        <v>211</v>
      </c>
      <c r="B16" s="541"/>
      <c r="C16" s="541"/>
      <c r="D16" s="541"/>
      <c r="E16" s="541"/>
      <c r="F16" s="541"/>
      <c r="G16" s="541">
        <v>3409183</v>
      </c>
      <c r="H16" s="541">
        <v>1091062</v>
      </c>
      <c r="I16" s="541">
        <v>323729</v>
      </c>
      <c r="J16" s="642">
        <v>441785</v>
      </c>
      <c r="K16" s="541">
        <v>242852</v>
      </c>
      <c r="L16" s="541">
        <v>448177</v>
      </c>
      <c r="M16" s="541">
        <v>816578</v>
      </c>
      <c r="N16" s="541">
        <v>55528</v>
      </c>
      <c r="O16" s="542">
        <v>61396</v>
      </c>
    </row>
    <row r="17" spans="1:15" s="581" customFormat="1" ht="22.5" customHeight="1">
      <c r="A17" s="580" t="s">
        <v>212</v>
      </c>
      <c r="B17" s="643">
        <f>SUM(C17:F17)</f>
        <v>0</v>
      </c>
      <c r="C17" s="643">
        <v>0</v>
      </c>
      <c r="D17" s="643">
        <v>0</v>
      </c>
      <c r="E17" s="643">
        <v>0</v>
      </c>
      <c r="F17" s="643">
        <v>0</v>
      </c>
      <c r="G17" s="643">
        <f>SUM(H17:M17)</f>
        <v>2529231</v>
      </c>
      <c r="H17" s="643">
        <v>989654</v>
      </c>
      <c r="I17" s="643">
        <v>253377</v>
      </c>
      <c r="J17" s="643">
        <v>51415</v>
      </c>
      <c r="K17" s="643">
        <v>162128</v>
      </c>
      <c r="L17" s="643">
        <v>188996</v>
      </c>
      <c r="M17" s="643">
        <v>883661</v>
      </c>
      <c r="N17" s="643">
        <v>24269.7</v>
      </c>
      <c r="O17" s="644">
        <v>104213.5255071138</v>
      </c>
    </row>
    <row r="18" spans="1:15" s="581" customFormat="1" ht="22.5" customHeight="1">
      <c r="A18" s="573" t="s">
        <v>213</v>
      </c>
      <c r="B18" s="541"/>
      <c r="C18" s="541"/>
      <c r="D18" s="541"/>
      <c r="E18" s="541"/>
      <c r="F18" s="541"/>
      <c r="G18" s="645">
        <v>2470568</v>
      </c>
      <c r="H18" s="645">
        <v>1253257</v>
      </c>
      <c r="I18" s="645">
        <v>206987</v>
      </c>
      <c r="J18" s="645">
        <v>63703</v>
      </c>
      <c r="K18" s="645">
        <v>96108</v>
      </c>
      <c r="L18" s="645" t="s">
        <v>358</v>
      </c>
      <c r="M18" s="645">
        <v>850513</v>
      </c>
      <c r="N18" s="645">
        <v>24835</v>
      </c>
      <c r="O18" s="646">
        <v>90000</v>
      </c>
    </row>
    <row r="19" spans="1:15" s="571" customFormat="1" ht="22.5" customHeight="1">
      <c r="A19" s="582" t="s">
        <v>214</v>
      </c>
      <c r="B19" s="541">
        <f>SUM(C19:F19)</f>
        <v>0</v>
      </c>
      <c r="C19" s="541"/>
      <c r="D19" s="541"/>
      <c r="E19" s="541"/>
      <c r="F19" s="541"/>
      <c r="G19" s="647">
        <f>SUM(H19:M19)</f>
        <v>4599397</v>
      </c>
      <c r="H19" s="647">
        <v>1295018</v>
      </c>
      <c r="I19" s="647">
        <v>204847</v>
      </c>
      <c r="J19" s="647">
        <v>299716</v>
      </c>
      <c r="K19" s="647">
        <v>1371053</v>
      </c>
      <c r="L19" s="647">
        <v>40594</v>
      </c>
      <c r="M19" s="647">
        <v>1388169</v>
      </c>
      <c r="N19" s="647">
        <v>102036</v>
      </c>
      <c r="O19" s="648">
        <f>G19/N19*1000</f>
        <v>45076.21819749892</v>
      </c>
    </row>
    <row r="20" spans="1:15" s="571" customFormat="1" ht="22.5" customHeight="1">
      <c r="A20" s="573" t="s">
        <v>215</v>
      </c>
      <c r="B20" s="541">
        <f>SUM(C20:F20)</f>
        <v>1066012</v>
      </c>
      <c r="C20" s="541">
        <v>1062272</v>
      </c>
      <c r="D20" s="541" t="s">
        <v>359</v>
      </c>
      <c r="E20" s="541" t="s">
        <v>359</v>
      </c>
      <c r="F20" s="541">
        <v>3740</v>
      </c>
      <c r="G20" s="541">
        <f>SUM(H20:M20)</f>
        <v>5006475</v>
      </c>
      <c r="H20" s="541">
        <v>1649685</v>
      </c>
      <c r="I20" s="541">
        <v>492936</v>
      </c>
      <c r="J20" s="541">
        <v>371405</v>
      </c>
      <c r="K20" s="541">
        <v>243783</v>
      </c>
      <c r="L20" s="541">
        <v>849862</v>
      </c>
      <c r="M20" s="541">
        <v>1398804</v>
      </c>
      <c r="N20" s="541">
        <v>99537</v>
      </c>
      <c r="O20" s="542">
        <f>(SUM(G20)-B20)/N20*1000</f>
        <v>39587.922079226824</v>
      </c>
    </row>
    <row r="21" spans="1:15" s="571" customFormat="1" ht="22.5" customHeight="1" thickBot="1">
      <c r="A21" s="583" t="s">
        <v>216</v>
      </c>
      <c r="B21" s="649">
        <f>SUM(C21:F21)</f>
        <v>3016</v>
      </c>
      <c r="C21" s="649"/>
      <c r="D21" s="649"/>
      <c r="E21" s="649"/>
      <c r="F21" s="649">
        <v>3016</v>
      </c>
      <c r="G21" s="649">
        <f>SUM(H21:M21)</f>
        <v>2491712</v>
      </c>
      <c r="H21" s="649">
        <v>602712</v>
      </c>
      <c r="I21" s="649">
        <v>143928</v>
      </c>
      <c r="J21" s="649">
        <v>266001</v>
      </c>
      <c r="K21" s="649">
        <v>144608</v>
      </c>
      <c r="L21" s="649">
        <v>106713</v>
      </c>
      <c r="M21" s="649">
        <v>1227750</v>
      </c>
      <c r="N21" s="649">
        <v>65628</v>
      </c>
      <c r="O21" s="650">
        <f>G21/N21*1000</f>
        <v>37967.20911805936</v>
      </c>
    </row>
    <row r="23" ht="16.5" customHeight="1">
      <c r="A23" s="584" t="s">
        <v>217</v>
      </c>
    </row>
    <row r="24" ht="16.5" customHeight="1">
      <c r="A24" s="584" t="s">
        <v>218</v>
      </c>
    </row>
    <row r="25" ht="16.5" customHeight="1">
      <c r="A25" s="584" t="s">
        <v>219</v>
      </c>
    </row>
    <row r="26" ht="16.5" customHeight="1">
      <c r="A26" s="584" t="s">
        <v>220</v>
      </c>
    </row>
    <row r="27" s="584" customFormat="1" ht="16.5" customHeight="1">
      <c r="A27" s="584" t="s">
        <v>221</v>
      </c>
    </row>
  </sheetData>
  <mergeCells count="6">
    <mergeCell ref="A2:O2"/>
    <mergeCell ref="A4:A5"/>
    <mergeCell ref="B4:F4"/>
    <mergeCell ref="G4:M4"/>
    <mergeCell ref="N4:N5"/>
    <mergeCell ref="O4:O5"/>
  </mergeCells>
  <printOptions/>
  <pageMargins left="0.29" right="0.46" top="0.7480314960629921" bottom="0.5905511811023623" header="0.5118110236220472" footer="0.3937007874015748"/>
  <pageSetup horizontalDpi="300" verticalDpi="300" orientation="landscape" paperSize="9" scale="85" r:id="rId1"/>
  <headerFooter alignWithMargins="0">
    <oddFooter>&amp;C77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24">
      <selection activeCell="J39" sqref="J39"/>
    </sheetView>
  </sheetViews>
  <sheetFormatPr defaultColWidth="8.88671875" defaultRowHeight="13.5"/>
  <sheetData>
    <row r="1" spans="1:13" ht="20.25">
      <c r="A1" s="794" t="s">
        <v>222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</row>
    <row r="2" ht="20.25" customHeight="1"/>
    <row r="3" ht="19.5" customHeight="1">
      <c r="A3" s="585" t="s">
        <v>223</v>
      </c>
    </row>
    <row r="4" ht="19.5" customHeight="1">
      <c r="A4" s="585" t="s">
        <v>224</v>
      </c>
    </row>
    <row r="5" ht="10.5" customHeight="1">
      <c r="A5" s="585"/>
    </row>
    <row r="6" ht="19.5" customHeight="1">
      <c r="A6" s="585" t="s">
        <v>225</v>
      </c>
    </row>
    <row r="7" ht="19.5" customHeight="1">
      <c r="A7" s="585" t="s">
        <v>226</v>
      </c>
    </row>
    <row r="8" ht="12" customHeight="1">
      <c r="A8" s="585"/>
    </row>
    <row r="9" ht="19.5" customHeight="1">
      <c r="A9" s="585" t="s">
        <v>227</v>
      </c>
    </row>
    <row r="10" ht="19.5" customHeight="1">
      <c r="A10" s="585" t="s">
        <v>228</v>
      </c>
    </row>
    <row r="11" ht="19.5" customHeight="1">
      <c r="A11" s="585" t="s">
        <v>229</v>
      </c>
    </row>
    <row r="12" ht="12" customHeight="1">
      <c r="A12" s="585"/>
    </row>
    <row r="13" ht="19.5" customHeight="1">
      <c r="A13" s="585" t="s">
        <v>230</v>
      </c>
    </row>
    <row r="14" ht="19.5" customHeight="1">
      <c r="A14" s="585" t="s">
        <v>231</v>
      </c>
    </row>
    <row r="15" ht="10.5" customHeight="1">
      <c r="A15" s="585"/>
    </row>
    <row r="16" ht="19.5" customHeight="1">
      <c r="A16" s="585" t="s">
        <v>232</v>
      </c>
    </row>
    <row r="17" ht="10.5" customHeight="1">
      <c r="A17" s="585"/>
    </row>
    <row r="18" ht="19.5" customHeight="1">
      <c r="A18" s="585" t="s">
        <v>233</v>
      </c>
    </row>
    <row r="19" ht="19.5" customHeight="1">
      <c r="A19" s="585" t="s">
        <v>234</v>
      </c>
    </row>
    <row r="20" ht="10.5" customHeight="1">
      <c r="A20" s="585"/>
    </row>
    <row r="21" ht="19.5" customHeight="1">
      <c r="A21" s="585" t="s">
        <v>235</v>
      </c>
    </row>
    <row r="22" ht="19.5" customHeight="1">
      <c r="A22" s="585" t="s">
        <v>236</v>
      </c>
    </row>
    <row r="23" ht="10.5" customHeight="1">
      <c r="A23" s="585"/>
    </row>
    <row r="24" ht="19.5" customHeight="1">
      <c r="A24" s="585" t="s">
        <v>237</v>
      </c>
    </row>
    <row r="25" ht="19.5" customHeight="1">
      <c r="A25" s="585" t="s">
        <v>238</v>
      </c>
    </row>
    <row r="26" ht="19.5" customHeight="1">
      <c r="A26" s="585" t="s">
        <v>239</v>
      </c>
    </row>
    <row r="27" ht="19.5" customHeight="1">
      <c r="A27" s="585" t="s">
        <v>240</v>
      </c>
    </row>
    <row r="28" ht="19.5" customHeight="1">
      <c r="A28" s="585" t="s">
        <v>241</v>
      </c>
    </row>
    <row r="29" ht="19.5" customHeight="1">
      <c r="A29" s="585" t="s">
        <v>242</v>
      </c>
    </row>
    <row r="30" ht="10.5" customHeight="1">
      <c r="A30" s="585"/>
    </row>
    <row r="31" ht="19.5" customHeight="1">
      <c r="A31" s="585" t="s">
        <v>243</v>
      </c>
    </row>
    <row r="32" ht="19.5" customHeight="1">
      <c r="A32" s="585" t="s">
        <v>244</v>
      </c>
    </row>
    <row r="33" ht="10.5" customHeight="1">
      <c r="A33" s="585"/>
    </row>
    <row r="34" ht="19.5" customHeight="1">
      <c r="A34" s="585" t="s">
        <v>245</v>
      </c>
    </row>
    <row r="35" ht="19.5" customHeight="1">
      <c r="A35" s="585" t="s">
        <v>246</v>
      </c>
    </row>
    <row r="36" ht="19.5" customHeight="1">
      <c r="A36" s="585" t="s">
        <v>247</v>
      </c>
    </row>
    <row r="37" ht="19.5" customHeight="1">
      <c r="A37" s="585" t="s">
        <v>248</v>
      </c>
    </row>
    <row r="38" ht="19.5" customHeight="1">
      <c r="A38" s="585" t="s">
        <v>249</v>
      </c>
    </row>
    <row r="39" ht="19.5" customHeight="1">
      <c r="A39" s="585" t="s">
        <v>250</v>
      </c>
    </row>
    <row r="40" ht="10.5" customHeight="1">
      <c r="A40" s="585"/>
    </row>
    <row r="41" ht="19.5" customHeight="1">
      <c r="A41" s="585" t="s">
        <v>251</v>
      </c>
    </row>
    <row r="42" ht="19.5" customHeight="1">
      <c r="A42" s="585" t="s">
        <v>252</v>
      </c>
    </row>
    <row r="43" ht="19.5" customHeight="1">
      <c r="A43" s="585"/>
    </row>
    <row r="44" ht="19.5" customHeight="1">
      <c r="A44" s="585"/>
    </row>
    <row r="45" ht="19.5" customHeight="1">
      <c r="A45" s="585"/>
    </row>
    <row r="46" ht="19.5" customHeight="1">
      <c r="A46" s="585"/>
    </row>
    <row r="47" ht="19.5" customHeight="1">
      <c r="A47" s="585"/>
    </row>
    <row r="48" ht="19.5" customHeight="1">
      <c r="A48" s="585"/>
    </row>
    <row r="49" ht="19.5" customHeight="1">
      <c r="A49" s="585"/>
    </row>
    <row r="50" ht="19.5" customHeight="1">
      <c r="A50" s="585"/>
    </row>
    <row r="51" ht="19.5" customHeight="1">
      <c r="A51" s="585"/>
    </row>
    <row r="52" ht="19.5" customHeight="1">
      <c r="A52" s="585"/>
    </row>
    <row r="53" ht="19.5" customHeight="1">
      <c r="A53" s="585"/>
    </row>
    <row r="54" ht="19.5" customHeight="1">
      <c r="A54" s="585"/>
    </row>
    <row r="55" ht="19.5" customHeight="1">
      <c r="A55" s="585"/>
    </row>
    <row r="56" ht="19.5" customHeight="1">
      <c r="A56" s="585"/>
    </row>
    <row r="57" ht="19.5" customHeight="1">
      <c r="A57" s="585"/>
    </row>
    <row r="58" ht="19.5" customHeight="1">
      <c r="A58" s="585"/>
    </row>
    <row r="59" ht="19.5" customHeight="1">
      <c r="A59" s="585"/>
    </row>
    <row r="60" ht="19.5" customHeight="1">
      <c r="A60" s="585"/>
    </row>
  </sheetData>
  <mergeCells count="1">
    <mergeCell ref="A1:M1"/>
  </mergeCells>
  <printOptions/>
  <pageMargins left="0.59" right="0.46" top="0.77" bottom="0.63" header="0.5" footer="0.5"/>
  <pageSetup horizontalDpi="300" verticalDpi="300" orientation="landscape" paperSize="9" r:id="rId1"/>
  <headerFooter alignWithMargins="0">
    <oddFooter>&amp;C79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이후만</Manager>
  <Company>전국생활폐기물소각시설운영협의회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'00생활폐기물소각시설 운영현황</dc:title>
  <dc:subject/>
  <dc:creator>이후만</dc:creator>
  <cp:keywords/>
  <dc:description/>
  <cp:lastModifiedBy>이후만</cp:lastModifiedBy>
  <cp:lastPrinted>2001-06-22T06:15:07Z</cp:lastPrinted>
  <dcterms:created xsi:type="dcterms:W3CDTF">2001-01-14T08:15:21Z</dcterms:created>
  <dcterms:modified xsi:type="dcterms:W3CDTF">2001-06-24T23:58:45Z</dcterms:modified>
  <cp:category/>
  <cp:version/>
  <cp:contentType/>
  <cp:contentStatus/>
</cp:coreProperties>
</file>